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Beta\"/>
    </mc:Choice>
  </mc:AlternateContent>
  <xr:revisionPtr revIDLastSave="0" documentId="13_ncr:1_{06DC26D7-DD31-4BAB-9269-C798DEACEE93}" xr6:coauthVersionLast="47" xr6:coauthVersionMax="47" xr10:uidLastSave="{00000000-0000-0000-0000-000000000000}"/>
  <bookViews>
    <workbookView xWindow="-120" yWindow="-120" windowWidth="29040" windowHeight="15990" activeTab="1"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Propu!$A$317:$A$346</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Stabilito!$B$97:$B$101</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E27"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D35" i="6"/>
  <c r="O21" i="6" s="1"/>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Y4" i="4"/>
  <c r="T3" i="4"/>
  <c r="Q3"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W4" i="4"/>
  <c r="O4" i="4"/>
  <c r="M3" i="4"/>
  <c r="P2" i="4"/>
  <c r="X2" i="4"/>
  <c r="I4" i="4"/>
  <c r="J2" i="4"/>
  <c r="E3" i="4"/>
  <c r="N2" i="4"/>
  <c r="X4" i="4"/>
  <c r="V4" i="4"/>
  <c r="N4" i="4"/>
  <c r="S3" i="4"/>
  <c r="V3" i="4"/>
  <c r="K4" i="4"/>
  <c r="F3" i="4"/>
  <c r="L2" i="4"/>
  <c r="T4" i="4"/>
  <c r="H3" i="4"/>
  <c r="B3" i="4"/>
  <c r="G3" i="4"/>
  <c r="Y3" i="4"/>
  <c r="B4" i="4"/>
  <c r="L4" i="4"/>
  <c r="R3" i="4"/>
  <c r="P3" i="4"/>
  <c r="O3" i="4"/>
  <c r="U4" i="4"/>
  <c r="R4" i="4"/>
  <c r="J4" i="4"/>
  <c r="X3" i="4"/>
  <c r="V2" i="4"/>
  <c r="H4" i="4"/>
  <c r="C4" i="4"/>
  <c r="U3" i="4"/>
  <c r="K3" i="4"/>
  <c r="D4" i="4"/>
  <c r="E4" i="4"/>
  <c r="S4" i="4"/>
  <c r="H2" i="4"/>
  <c r="D3" i="4"/>
  <c r="N3" i="4"/>
  <c r="G4" i="4"/>
  <c r="Q4" i="4"/>
  <c r="C3" i="4"/>
  <c r="I3" i="4"/>
  <c r="M4" i="4"/>
  <c r="L3" i="4"/>
  <c r="W3" i="4"/>
  <c r="Z2" i="4"/>
  <c r="R2" i="4"/>
  <c r="J3" i="4"/>
  <c r="T2" i="4"/>
  <c r="F4" i="4"/>
  <c r="P4" i="4"/>
  <c r="D166" i="6" l="1"/>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C11" i="1" l="1"/>
  <c r="S4" i="3" s="1"/>
  <c r="T4" i="3" s="1"/>
  <c r="U4" i="3" s="1"/>
  <c r="P15" i="6"/>
  <c r="M15" i="6" s="1"/>
  <c r="J42" i="7" s="1"/>
  <c r="E35" i="6"/>
  <c r="O22" i="6" s="1"/>
  <c r="O19" i="6" s="1"/>
  <c r="H28" i="6" s="1"/>
  <c r="C190" i="6" s="1"/>
  <c r="M22" i="6"/>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C153" i="6"/>
  <c r="N15" i="6" l="1"/>
  <c r="I42" i="7" s="1"/>
  <c r="H42" i="7"/>
  <c r="E108" i="7"/>
  <c r="D23" i="7"/>
  <c r="M19" i="6"/>
  <c r="H31" i="6" s="1"/>
  <c r="H29" i="6" s="1"/>
  <c r="H47" i="7" s="1"/>
  <c r="AA6" i="3"/>
  <c r="H48" i="8"/>
  <c r="P29" i="1"/>
  <c r="A7" i="3"/>
  <c r="B7" i="3" s="1"/>
  <c r="P7" i="3" s="1"/>
  <c r="Q7" i="3" s="1"/>
  <c r="AD6" i="3"/>
  <c r="P6" i="3"/>
  <c r="Q6" i="3" s="1"/>
  <c r="H71" i="7"/>
  <c r="Z6" i="3"/>
  <c r="H68" i="7"/>
  <c r="H16" i="7"/>
  <c r="P28" i="1"/>
  <c r="H50" i="8"/>
  <c r="C149" i="6"/>
  <c r="H46" i="8"/>
  <c r="H46" i="7"/>
  <c r="D152" i="6"/>
  <c r="H13" i="7"/>
  <c r="H58" i="8"/>
  <c r="R194" i="4"/>
  <c r="P196" i="4"/>
  <c r="F108" i="7"/>
  <c r="D213" i="4"/>
  <c r="F213" i="4" s="1"/>
  <c r="B191" i="6"/>
  <c r="C194" i="6"/>
  <c r="H61" i="8"/>
  <c r="D223" i="4"/>
  <c r="F223" i="4" s="1"/>
  <c r="X111" i="4"/>
  <c r="W111" i="4"/>
  <c r="D108" i="4" s="1"/>
  <c r="D188" i="4"/>
  <c r="F188" i="4" s="1"/>
  <c r="D130" i="6"/>
  <c r="E130" i="6" s="1"/>
  <c r="E129" i="6"/>
  <c r="S28" i="6"/>
  <c r="C193" i="6"/>
  <c r="X236" i="4"/>
  <c r="W236" i="4"/>
  <c r="W201" i="4"/>
  <c r="X201" i="4"/>
  <c r="D198" i="4" s="1"/>
  <c r="D2" i="4"/>
  <c r="C155" i="6" l="1"/>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H14" i="7"/>
  <c r="B194" i="6"/>
  <c r="H30" i="6"/>
  <c r="H48" i="7" s="1"/>
  <c r="B190" i="6"/>
  <c r="S194" i="4"/>
  <c r="Q196" i="4"/>
  <c r="F108" i="4"/>
  <c r="D233" i="4"/>
  <c r="F233" i="4" s="1"/>
  <c r="F2" i="4"/>
  <c r="S29" i="6" l="1"/>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H15" i="7"/>
  <c r="R196" i="4"/>
  <c r="T194" i="4"/>
  <c r="S30" i="6" l="1"/>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S14" i="3"/>
  <c r="T13" i="3"/>
  <c r="AA18" i="3"/>
  <c r="P18" i="3"/>
  <c r="Q18" i="3" s="1"/>
  <c r="R18" i="3" s="1"/>
  <c r="AC18" i="3"/>
  <c r="A19" i="3"/>
  <c r="B19" i="3" s="1"/>
  <c r="AD18" i="3"/>
  <c r="Z18" i="3"/>
  <c r="M7" i="3" l="1"/>
  <c r="N7" i="3" s="1"/>
  <c r="J7" i="3"/>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AD84" i="3" s="1"/>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Z184" i="3" l="1"/>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AD184" i="3" s="1"/>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AD212" i="3" s="1"/>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U221" i="3"/>
  <c r="Y220" i="3"/>
  <c r="T222" i="3" l="1"/>
  <c r="AH222" i="3" s="1"/>
  <c r="E222" i="3" l="1"/>
  <c r="H222" i="3" s="1"/>
  <c r="AG222" i="3"/>
  <c r="D222" i="3"/>
  <c r="F222" i="3" l="1"/>
  <c r="G222" i="3"/>
  <c r="K222" i="3"/>
  <c r="AE222" i="3" s="1"/>
  <c r="I222" i="3" l="1"/>
  <c r="J222" i="3"/>
  <c r="AD222" i="3" s="1"/>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Z225" i="3"/>
  <c r="U224" i="3" l="1"/>
  <c r="Y223" i="3"/>
  <c r="T225" i="3"/>
  <c r="AG225" i="3" s="1"/>
  <c r="AH225" i="3" l="1"/>
  <c r="E225" i="3"/>
  <c r="H225" i="3" s="1"/>
  <c r="D225" i="3"/>
  <c r="K225" i="3" l="1"/>
  <c r="AE225" i="3" s="1"/>
  <c r="F225" i="3"/>
  <c r="G225" i="3"/>
  <c r="I225" i="3" l="1"/>
  <c r="J225" i="3"/>
  <c r="AD225" i="3" s="1"/>
  <c r="M225" i="3"/>
  <c r="N225" i="3" s="1"/>
  <c r="V225" i="3"/>
  <c r="A226" i="3"/>
  <c r="B226" i="3" s="1"/>
  <c r="W225" i="3" l="1"/>
  <c r="L225" i="3"/>
  <c r="Z226" i="3"/>
  <c r="AA226" i="3"/>
  <c r="P226" i="3"/>
  <c r="Q226" i="3" s="1"/>
  <c r="R226" i="3" s="1"/>
  <c r="S226" i="3" s="1"/>
  <c r="AC226" i="3"/>
  <c r="U225" i="3" l="1"/>
  <c r="Y224" i="3"/>
  <c r="T226" i="3"/>
  <c r="D226" i="3" l="1"/>
  <c r="G226" i="3" s="1"/>
  <c r="AH226" i="3"/>
  <c r="AG226" i="3"/>
  <c r="E226" i="3"/>
  <c r="H226" i="3" s="1"/>
  <c r="F226" i="3" l="1"/>
  <c r="I226" i="3"/>
  <c r="J226" i="3"/>
  <c r="AD226" i="3" s="1"/>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AD229" i="3" s="1"/>
  <c r="M229" i="3"/>
  <c r="N229" i="3" s="1"/>
  <c r="L229" i="3" l="1"/>
  <c r="W229" i="3"/>
  <c r="P230" i="3"/>
  <c r="Q230" i="3" s="1"/>
  <c r="R230" i="3" s="1"/>
  <c r="S230" i="3" s="1"/>
  <c r="AA230" i="3"/>
  <c r="AC230" i="3"/>
  <c r="Z230" i="3"/>
  <c r="U229" i="3" l="1"/>
  <c r="Y228" i="3"/>
  <c r="T230" i="3"/>
  <c r="AH230" i="3" s="1"/>
  <c r="AG230" i="3" l="1"/>
  <c r="D230" i="3"/>
  <c r="E230" i="3"/>
  <c r="H230" i="3" s="1"/>
  <c r="K230" i="3" l="1"/>
  <c r="AE230" i="3" s="1"/>
  <c r="F230" i="3"/>
  <c r="G230" i="3"/>
  <c r="I230" i="3" l="1"/>
  <c r="J230" i="3"/>
  <c r="AD230" i="3" s="1"/>
  <c r="M230" i="3"/>
  <c r="N230" i="3" s="1"/>
  <c r="V230" i="3"/>
  <c r="A231" i="3"/>
  <c r="B231" i="3" s="1"/>
  <c r="W230" i="3" l="1"/>
  <c r="L230"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AD231" i="3" s="1"/>
  <c r="M231" i="3"/>
  <c r="N231" i="3" s="1"/>
  <c r="L231" i="3" l="1"/>
  <c r="W231" i="3"/>
  <c r="P232" i="3"/>
  <c r="Q232" i="3" s="1"/>
  <c r="R232" i="3" s="1"/>
  <c r="S232" i="3" s="1"/>
  <c r="Z232" i="3"/>
  <c r="AA232" i="3"/>
  <c r="AC232" i="3"/>
  <c r="U231" i="3" l="1"/>
  <c r="Y230" i="3"/>
  <c r="T232" i="3"/>
  <c r="D232" i="3" l="1"/>
  <c r="G232" i="3" s="1"/>
  <c r="AG232" i="3"/>
  <c r="E232" i="3"/>
  <c r="H232" i="3" s="1"/>
  <c r="AH232" i="3"/>
  <c r="F232" i="3" l="1"/>
  <c r="I232" i="3"/>
  <c r="J232" i="3"/>
  <c r="AD232" i="3" s="1"/>
  <c r="M232" i="3"/>
  <c r="N232" i="3" s="1"/>
  <c r="K232" i="3"/>
  <c r="AE232" i="3" s="1"/>
  <c r="V232" i="3" l="1"/>
  <c r="W232" i="3" s="1"/>
  <c r="A233" i="3"/>
  <c r="B233" i="3" s="1"/>
  <c r="L232" i="3"/>
  <c r="U232" i="3" l="1"/>
  <c r="Y231" i="3"/>
  <c r="AA233" i="3"/>
  <c r="AC233" i="3"/>
  <c r="P233" i="3"/>
  <c r="Q233" i="3" s="1"/>
  <c r="R233" i="3" s="1"/>
  <c r="S233" i="3" s="1"/>
  <c r="Z233" i="3"/>
  <c r="T233" i="3" l="1"/>
  <c r="D233" i="3" s="1"/>
  <c r="AG233" i="3" l="1"/>
  <c r="AH233" i="3"/>
  <c r="E233" i="3"/>
  <c r="H233" i="3" s="1"/>
  <c r="K233" i="3" s="1"/>
  <c r="AE233" i="3" s="1"/>
  <c r="G233" i="3"/>
  <c r="F233" i="3" l="1"/>
  <c r="I233" i="3"/>
  <c r="J233" i="3"/>
  <c r="AD233" i="3" s="1"/>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C242" i="3"/>
  <c r="T242" i="3" l="1"/>
  <c r="D242" i="3" s="1"/>
  <c r="E242" i="3" l="1"/>
  <c r="H242" i="3" s="1"/>
  <c r="K242" i="3" s="1"/>
  <c r="AE242" i="3" s="1"/>
  <c r="G242" i="3"/>
  <c r="AH242" i="3"/>
  <c r="AG242" i="3"/>
  <c r="F242" i="3" l="1"/>
  <c r="I242" i="3"/>
  <c r="J242" i="3"/>
  <c r="AD242" i="3" s="1"/>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AD252" i="3" s="1"/>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AD262" i="3" s="1"/>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Z272" i="3"/>
  <c r="AA272" i="3"/>
  <c r="P272" i="3"/>
  <c r="Q272" i="3" s="1"/>
  <c r="R272" i="3" s="1"/>
  <c r="S272" i="3" s="1"/>
  <c r="AC272" i="3"/>
  <c r="T272" i="3" l="1"/>
  <c r="U271" i="3"/>
  <c r="Y270" i="3"/>
  <c r="D272" i="3" l="1"/>
  <c r="G272" i="3" s="1"/>
  <c r="E272" i="3"/>
  <c r="H272" i="3" s="1"/>
  <c r="K272" i="3" s="1"/>
  <c r="AE272" i="3" s="1"/>
  <c r="AG272" i="3"/>
  <c r="AH272" i="3"/>
  <c r="F272" i="3" l="1"/>
  <c r="I272" i="3"/>
  <c r="J272" i="3"/>
  <c r="AD272" i="3" s="1"/>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P282" i="3"/>
  <c r="Q282" i="3" s="1"/>
  <c r="R282" i="3" s="1"/>
  <c r="S282" i="3" s="1"/>
  <c r="AA282" i="3"/>
  <c r="U281" i="3" l="1"/>
  <c r="Y280" i="3"/>
  <c r="T282" i="3"/>
  <c r="D282" i="3" l="1"/>
  <c r="G282" i="3" s="1"/>
  <c r="E282" i="3"/>
  <c r="H282" i="3" s="1"/>
  <c r="AH282" i="3"/>
  <c r="AG282" i="3"/>
  <c r="F282" i="3" l="1"/>
  <c r="I282" i="3"/>
  <c r="J282" i="3"/>
  <c r="AD282" i="3" s="1"/>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AD292" i="3" s="1"/>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AD303" i="3"/>
  <c r="Z303" i="3"/>
  <c r="P303" i="3"/>
  <c r="Q303" i="3" s="1"/>
  <c r="R303" i="3" s="1"/>
  <c r="S303" i="3" s="1"/>
  <c r="AA303" i="3"/>
  <c r="AC303" i="3"/>
  <c r="L302" i="3" l="1"/>
  <c r="Y301" i="3" s="1"/>
  <c r="AD302" i="3"/>
  <c r="T303" i="3"/>
  <c r="U302" i="3" l="1"/>
  <c r="E303" i="3" s="1"/>
  <c r="H303" i="3" s="1"/>
  <c r="K303" i="3" s="1"/>
  <c r="AE303" i="3" s="1"/>
  <c r="AH303" i="3"/>
  <c r="AG303" i="3"/>
  <c r="D303" i="3" l="1"/>
  <c r="G303" i="3" s="1"/>
  <c r="I303" i="3" s="1"/>
  <c r="V303" i="3"/>
  <c r="A304" i="3"/>
  <c r="B304" i="3" s="1"/>
  <c r="M303" i="3" l="1"/>
  <c r="N303" i="3" s="1"/>
  <c r="J303" i="3"/>
  <c r="L303" i="3" s="1"/>
  <c r="F303" i="3"/>
  <c r="W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AD312" i="3" s="1"/>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A322" i="3"/>
  <c r="T322" i="3" l="1"/>
  <c r="AH322" i="3" s="1"/>
  <c r="E322" i="3" l="1"/>
  <c r="H322" i="3" s="1"/>
  <c r="K322" i="3" s="1"/>
  <c r="AE322" i="3" s="1"/>
  <c r="AG322" i="3"/>
  <c r="D322" i="3"/>
  <c r="V322" i="3" l="1"/>
  <c r="A323" i="3"/>
  <c r="B323" i="3" s="1"/>
  <c r="F322" i="3"/>
  <c r="G322" i="3"/>
  <c r="I322" i="3" l="1"/>
  <c r="W322" i="3" s="1"/>
  <c r="J322" i="3"/>
  <c r="AD322" i="3" s="1"/>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L371" i="3" l="1"/>
  <c r="T372" i="3"/>
  <c r="U371" i="3" l="1"/>
  <c r="E372" i="3" s="1"/>
  <c r="H372" i="3" s="1"/>
  <c r="AG372" i="3"/>
  <c r="AH372" i="3"/>
  <c r="Y370" i="3"/>
  <c r="D372" i="3" l="1"/>
  <c r="F372" i="3" s="1"/>
  <c r="K372" i="3"/>
  <c r="AE372" i="3" s="1"/>
  <c r="G372" i="3" l="1"/>
  <c r="M372" i="3" s="1"/>
  <c r="N372" i="3" s="1"/>
  <c r="V372" i="3"/>
  <c r="A373" i="3"/>
  <c r="B373" i="3" s="1"/>
  <c r="J372" i="3" l="1"/>
  <c r="I372" i="3"/>
  <c r="W372" i="3" s="1"/>
  <c r="Z373" i="3"/>
  <c r="AC373" i="3"/>
  <c r="P373" i="3"/>
  <c r="Q373" i="3" s="1"/>
  <c r="R373" i="3" s="1"/>
  <c r="S373" i="3" s="1"/>
  <c r="AA373" i="3"/>
  <c r="L372" i="3" l="1"/>
  <c r="U372" i="3" s="1"/>
  <c r="AD372" i="3"/>
  <c r="T373" i="3"/>
  <c r="Y371" i="3" l="1"/>
  <c r="AH373" i="3"/>
  <c r="D373" i="3"/>
  <c r="G373" i="3" s="1"/>
  <c r="E373" i="3"/>
  <c r="H373" i="3" s="1"/>
  <c r="AG373" i="3"/>
  <c r="F373" i="3" l="1"/>
  <c r="I373" i="3"/>
  <c r="J373" i="3"/>
  <c r="AD373" i="3" s="1"/>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W375" i="3"/>
  <c r="AA376" i="3"/>
  <c r="P376" i="3"/>
  <c r="Q376" i="3" s="1"/>
  <c r="R376" i="3" s="1"/>
  <c r="S376" i="3" s="1"/>
  <c r="AC376" i="3"/>
  <c r="Z376" i="3"/>
  <c r="L375" i="3" l="1"/>
  <c r="U375" i="3" s="1"/>
  <c r="AD375" i="3"/>
  <c r="T376" i="3"/>
  <c r="Y374" i="3" l="1"/>
  <c r="D376" i="3"/>
  <c r="G376" i="3" s="1"/>
  <c r="AG376" i="3"/>
  <c r="AH376" i="3"/>
  <c r="E376" i="3"/>
  <c r="H376" i="3" s="1"/>
  <c r="F376" i="3" l="1"/>
  <c r="I376" i="3"/>
  <c r="J376" i="3"/>
  <c r="AD376" i="3" s="1"/>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P379" i="3"/>
  <c r="Q379" i="3" s="1"/>
  <c r="R379" i="3" s="1"/>
  <c r="S379" i="3" s="1"/>
  <c r="AC379" i="3"/>
  <c r="U378" i="3" l="1"/>
  <c r="Y377" i="3"/>
  <c r="T379" i="3"/>
  <c r="AH379" i="3" s="1"/>
  <c r="E379" i="3" l="1"/>
  <c r="H379" i="3" s="1"/>
  <c r="K379" i="3" s="1"/>
  <c r="AE379" i="3" s="1"/>
  <c r="D379" i="3"/>
  <c r="G379" i="3" s="1"/>
  <c r="AG379" i="3"/>
  <c r="F379" i="3" l="1"/>
  <c r="I379" i="3"/>
  <c r="J379" i="3"/>
  <c r="AD379" i="3" s="1"/>
  <c r="M379" i="3"/>
  <c r="N379" i="3" s="1"/>
  <c r="V379" i="3"/>
  <c r="A380" i="3"/>
  <c r="B380" i="3" s="1"/>
  <c r="W379" i="3" l="1"/>
  <c r="L379" i="3"/>
  <c r="Z380" i="3"/>
  <c r="P380" i="3"/>
  <c r="Q380" i="3" s="1"/>
  <c r="R380" i="3" s="1"/>
  <c r="S380" i="3" s="1"/>
  <c r="AC380" i="3"/>
  <c r="AA380" i="3"/>
  <c r="T380" i="3" l="1"/>
  <c r="AH380" i="3" s="1"/>
  <c r="U379" i="3"/>
  <c r="Y378" i="3"/>
  <c r="AG380" i="3" l="1"/>
  <c r="E380" i="3"/>
  <c r="H380" i="3" s="1"/>
  <c r="K380" i="3" s="1"/>
  <c r="AE380" i="3" s="1"/>
  <c r="D380" i="3"/>
  <c r="V380" i="3" l="1"/>
  <c r="A381" i="3"/>
  <c r="B381" i="3" s="1"/>
  <c r="F380" i="3"/>
  <c r="G380" i="3"/>
  <c r="I380" i="3" l="1"/>
  <c r="W380" i="3" s="1"/>
  <c r="J380" i="3"/>
  <c r="AD380" i="3" s="1"/>
  <c r="M380" i="3"/>
  <c r="N380" i="3" s="1"/>
  <c r="Z381" i="3"/>
  <c r="AA381" i="3"/>
  <c r="AC381" i="3"/>
  <c r="P381" i="3"/>
  <c r="Q381" i="3" s="1"/>
  <c r="R381" i="3" s="1"/>
  <c r="S381" i="3" s="1"/>
  <c r="T381" i="3" l="1"/>
  <c r="L380" i="3"/>
  <c r="U380" i="3" l="1"/>
  <c r="E381" i="3" s="1"/>
  <c r="H381" i="3" s="1"/>
  <c r="AH381" i="3"/>
  <c r="AG381" i="3"/>
  <c r="Y379" i="3"/>
  <c r="K381" i="3" l="1"/>
  <c r="AE381" i="3" s="1"/>
  <c r="D381" i="3"/>
  <c r="V381" i="3" l="1"/>
  <c r="A382" i="3"/>
  <c r="B382" i="3" s="1"/>
  <c r="F381" i="3"/>
  <c r="G381" i="3"/>
  <c r="I381" i="3" l="1"/>
  <c r="W381" i="3" s="1"/>
  <c r="J381" i="3"/>
  <c r="AD381" i="3" s="1"/>
  <c r="M381" i="3"/>
  <c r="N381" i="3" s="1"/>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AD382" i="3" s="1"/>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Z392" i="3"/>
  <c r="P392" i="3"/>
  <c r="Q392" i="3" s="1"/>
  <c r="R392" i="3" s="1"/>
  <c r="S392" i="3" s="1"/>
  <c r="AA392" i="3"/>
  <c r="AC392" i="3"/>
  <c r="T392" i="3" l="1"/>
  <c r="L391" i="3"/>
  <c r="U391" i="3" l="1"/>
  <c r="D392" i="3" s="1"/>
  <c r="AH392" i="3"/>
  <c r="AG392" i="3"/>
  <c r="Y390" i="3"/>
  <c r="G392" i="3" l="1"/>
  <c r="E392" i="3"/>
  <c r="H392" i="3" s="1"/>
  <c r="F392" i="3" l="1"/>
  <c r="I392" i="3"/>
  <c r="J392" i="3"/>
  <c r="AD392" i="3" s="1"/>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P402" i="3"/>
  <c r="Q402" i="3" s="1"/>
  <c r="R402" i="3" s="1"/>
  <c r="S402" i="3" s="1"/>
  <c r="U401" i="3" l="1"/>
  <c r="Y400" i="3"/>
  <c r="T402" i="3"/>
  <c r="AG402" i="3" s="1"/>
  <c r="AH402" i="3" l="1"/>
  <c r="E402" i="3"/>
  <c r="H402" i="3" s="1"/>
  <c r="K402" i="3" s="1"/>
  <c r="AE402" i="3" s="1"/>
  <c r="D402" i="3"/>
  <c r="G402" i="3" s="1"/>
  <c r="F402" i="3" l="1"/>
  <c r="I402" i="3"/>
  <c r="J402" i="3"/>
  <c r="AD402" i="3" s="1"/>
  <c r="M402" i="3"/>
  <c r="N402" i="3" s="1"/>
  <c r="V402" i="3"/>
  <c r="A403" i="3"/>
  <c r="B403" i="3" s="1"/>
  <c r="W402" i="3" l="1"/>
  <c r="L402" i="3"/>
  <c r="AC403" i="3"/>
  <c r="AA403" i="3"/>
  <c r="P403" i="3"/>
  <c r="Q403" i="3" s="1"/>
  <c r="R403" i="3" s="1"/>
  <c r="S403" i="3" s="1"/>
  <c r="Z403" i="3"/>
  <c r="T403" i="3" l="1"/>
  <c r="AH403" i="3" s="1"/>
  <c r="U402" i="3"/>
  <c r="Y401" i="3"/>
  <c r="AG403" i="3" l="1"/>
  <c r="D403" i="3"/>
  <c r="E403" i="3"/>
  <c r="H403" i="3" s="1"/>
  <c r="F403" i="3" l="1"/>
  <c r="G403" i="3"/>
  <c r="K403" i="3"/>
  <c r="AE403" i="3" s="1"/>
  <c r="V403" i="3" l="1"/>
  <c r="A404" i="3"/>
  <c r="B404" i="3" s="1"/>
  <c r="I403" i="3"/>
  <c r="J403" i="3"/>
  <c r="AD403" i="3" s="1"/>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A405" i="3"/>
  <c r="U404" i="3" l="1"/>
  <c r="Y403" i="3"/>
  <c r="T405" i="3"/>
  <c r="E405" i="3" l="1"/>
  <c r="H405" i="3" s="1"/>
  <c r="K405" i="3" s="1"/>
  <c r="AE405" i="3" s="1"/>
  <c r="AH405" i="3"/>
  <c r="D405" i="3"/>
  <c r="AG405" i="3"/>
  <c r="F405" i="3" l="1"/>
  <c r="G405" i="3"/>
  <c r="V405" i="3"/>
  <c r="A406" i="3"/>
  <c r="B406" i="3" s="1"/>
  <c r="AA406" i="3" l="1"/>
  <c r="AC406" i="3"/>
  <c r="Z406" i="3"/>
  <c r="P406" i="3"/>
  <c r="Q406" i="3" s="1"/>
  <c r="R406" i="3" s="1"/>
  <c r="S406" i="3" s="1"/>
  <c r="I405" i="3"/>
  <c r="W405" i="3" s="1"/>
  <c r="J405" i="3"/>
  <c r="AD405" i="3" s="1"/>
  <c r="M405" i="3"/>
  <c r="N405" i="3" s="1"/>
  <c r="T406" i="3" l="1"/>
  <c r="L405" i="3"/>
  <c r="U405" i="3" l="1"/>
  <c r="E406" i="3" s="1"/>
  <c r="H406" i="3" s="1"/>
  <c r="AH406" i="3"/>
  <c r="AG406" i="3"/>
  <c r="Y404" i="3"/>
  <c r="K406" i="3" l="1"/>
  <c r="AE406" i="3" s="1"/>
  <c r="D406" i="3"/>
  <c r="V406" i="3" l="1"/>
  <c r="A407" i="3"/>
  <c r="B407" i="3" s="1"/>
  <c r="F406" i="3"/>
  <c r="G406" i="3"/>
  <c r="I406" i="3" l="1"/>
  <c r="W406" i="3" s="1"/>
  <c r="J406" i="3"/>
  <c r="AD406" i="3" s="1"/>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Z410" i="3"/>
  <c r="I409" i="3"/>
  <c r="W409" i="3" s="1"/>
  <c r="J409" i="3"/>
  <c r="AD409" i="3" s="1"/>
  <c r="M409" i="3"/>
  <c r="N409" i="3" s="1"/>
  <c r="T410" i="3" l="1"/>
  <c r="L409" i="3"/>
  <c r="AG410" i="3" l="1"/>
  <c r="U409" i="3"/>
  <c r="D410" i="3" s="1"/>
  <c r="AH410" i="3"/>
  <c r="Y408" i="3"/>
  <c r="E410" i="3" l="1"/>
  <c r="H410" i="3" s="1"/>
  <c r="K410" i="3" s="1"/>
  <c r="AE410" i="3" s="1"/>
  <c r="G410" i="3"/>
  <c r="F410" i="3" l="1"/>
  <c r="I410" i="3"/>
  <c r="J410" i="3"/>
  <c r="AD410" i="3" s="1"/>
  <c r="M410" i="3"/>
  <c r="N410" i="3" s="1"/>
  <c r="V410" i="3"/>
  <c r="A411" i="3"/>
  <c r="B411" i="3" s="1"/>
  <c r="W410" i="3" l="1"/>
  <c r="L410" i="3"/>
  <c r="AC411" i="3"/>
  <c r="P411" i="3"/>
  <c r="Q411" i="3" s="1"/>
  <c r="R411" i="3" s="1"/>
  <c r="S411" i="3" s="1"/>
  <c r="AA411" i="3"/>
  <c r="Z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I411" i="3"/>
  <c r="W411" i="3" s="1"/>
  <c r="J411" i="3"/>
  <c r="AD411" i="3" s="1"/>
  <c r="M411" i="3"/>
  <c r="N411" i="3" s="1"/>
  <c r="T412" i="3" l="1"/>
  <c r="L411" i="3"/>
  <c r="U411" i="3" l="1"/>
  <c r="D412" i="3" s="1"/>
  <c r="AG412" i="3"/>
  <c r="AH412" i="3"/>
  <c r="Y410" i="3"/>
  <c r="G412" i="3" l="1"/>
  <c r="E412" i="3"/>
  <c r="H412" i="3" s="1"/>
  <c r="F412" i="3" l="1"/>
  <c r="I412" i="3"/>
  <c r="J412" i="3"/>
  <c r="AD412" i="3" s="1"/>
  <c r="M412" i="3"/>
  <c r="N412" i="3" s="1"/>
  <c r="K412" i="3"/>
  <c r="AE412" i="3" s="1"/>
  <c r="V412" i="3" l="1"/>
  <c r="W412" i="3" s="1"/>
  <c r="A413" i="3"/>
  <c r="B413" i="3" s="1"/>
  <c r="L412" i="3"/>
  <c r="U412" i="3" l="1"/>
  <c r="Y411" i="3"/>
  <c r="Z413" i="3"/>
  <c r="P413" i="3"/>
  <c r="Q413" i="3" s="1"/>
  <c r="R413" i="3" s="1"/>
  <c r="S413" i="3" s="1"/>
  <c r="AA413" i="3"/>
  <c r="AC413" i="3"/>
  <c r="T413" i="3" l="1"/>
  <c r="D413" i="3" s="1"/>
  <c r="E413" i="3" l="1"/>
  <c r="H413" i="3" s="1"/>
  <c r="K413" i="3" s="1"/>
  <c r="AE413" i="3" s="1"/>
  <c r="AH413" i="3"/>
  <c r="G413" i="3"/>
  <c r="AG413" i="3"/>
  <c r="F413" i="3" l="1"/>
  <c r="I413" i="3"/>
  <c r="J413" i="3"/>
  <c r="AD413" i="3" s="1"/>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AD429" i="3"/>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M429" i="3"/>
  <c r="N429" i="3" s="1"/>
  <c r="V429" i="3"/>
  <c r="A430" i="3"/>
  <c r="B430" i="3" s="1"/>
  <c r="L429" i="3" l="1"/>
  <c r="W429" i="3"/>
  <c r="AA430" i="3"/>
  <c r="Z430" i="3"/>
  <c r="P430" i="3"/>
  <c r="Q430" i="3" s="1"/>
  <c r="R430" i="3" s="1"/>
  <c r="S430" i="3" s="1"/>
  <c r="AC430" i="3"/>
  <c r="AD430" i="3"/>
  <c r="U429" i="3" l="1"/>
  <c r="Y428" i="3"/>
  <c r="T430" i="3"/>
  <c r="D430" i="3" l="1"/>
  <c r="G430" i="3" s="1"/>
  <c r="AH430" i="3"/>
  <c r="E430" i="3"/>
  <c r="H430" i="3" s="1"/>
  <c r="AG430" i="3"/>
  <c r="F430" i="3" l="1"/>
  <c r="I430" i="3"/>
  <c r="J430" i="3"/>
  <c r="M430" i="3"/>
  <c r="N430" i="3" s="1"/>
  <c r="K430" i="3"/>
  <c r="AE430" i="3" s="1"/>
  <c r="V430" i="3" l="1"/>
  <c r="W430" i="3" s="1"/>
  <c r="A431" i="3"/>
  <c r="B431" i="3" s="1"/>
  <c r="L430" i="3"/>
  <c r="U430" i="3" l="1"/>
  <c r="Y429" i="3"/>
  <c r="AC431" i="3"/>
  <c r="Z431" i="3"/>
  <c r="P431" i="3"/>
  <c r="Q431" i="3" s="1"/>
  <c r="R431" i="3" s="1"/>
  <c r="S431" i="3" s="1"/>
  <c r="AA431" i="3"/>
  <c r="AD431" i="3"/>
  <c r="T431" i="3" l="1"/>
  <c r="AH431" i="3" s="1"/>
  <c r="E431" i="3" l="1"/>
  <c r="H431" i="3" s="1"/>
  <c r="AG431" i="3"/>
  <c r="D431" i="3"/>
  <c r="K431" i="3" l="1"/>
  <c r="AE431" i="3" s="1"/>
  <c r="F431" i="3"/>
  <c r="G431" i="3"/>
  <c r="V431" i="3" l="1"/>
  <c r="A432" i="3"/>
  <c r="B432" i="3" s="1"/>
  <c r="I431" i="3"/>
  <c r="J431" i="3"/>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T434" i="3"/>
  <c r="AH434" i="3" l="1"/>
  <c r="Y432" i="3"/>
  <c r="E434" i="3"/>
  <c r="H434" i="3" s="1"/>
  <c r="K434" i="3" s="1"/>
  <c r="AE434" i="3" s="1"/>
  <c r="AG434" i="3"/>
  <c r="D434" i="3"/>
  <c r="F434" i="3" l="1"/>
  <c r="G434" i="3"/>
  <c r="M434" i="3" s="1"/>
  <c r="N434" i="3" s="1"/>
  <c r="V434" i="3"/>
  <c r="A435" i="3"/>
  <c r="B435" i="3" s="1"/>
  <c r="I434" i="3" l="1"/>
  <c r="W434" i="3" s="1"/>
  <c r="J434" i="3"/>
  <c r="P435" i="3"/>
  <c r="Q435" i="3" s="1"/>
  <c r="R435" i="3" s="1"/>
  <c r="S435" i="3" s="1"/>
  <c r="AA435" i="3"/>
  <c r="AC435" i="3"/>
  <c r="Z435" i="3"/>
  <c r="L434" i="3" l="1"/>
  <c r="Y433" i="3" s="1"/>
  <c r="AD434" i="3"/>
  <c r="T435" i="3"/>
  <c r="U434" i="3" l="1"/>
  <c r="E435" i="3" s="1"/>
  <c r="H435" i="3" s="1"/>
  <c r="AG435" i="3"/>
  <c r="AH435" i="3"/>
  <c r="D435" i="3" l="1"/>
  <c r="G435" i="3" s="1"/>
  <c r="I435" i="3" s="1"/>
  <c r="K435" i="3"/>
  <c r="AE435" i="3" s="1"/>
  <c r="J435" i="3" l="1"/>
  <c r="M435" i="3"/>
  <c r="N435" i="3" s="1"/>
  <c r="F435" i="3"/>
  <c r="V435" i="3"/>
  <c r="W435" i="3" s="1"/>
  <c r="A436" i="3"/>
  <c r="B436" i="3" s="1"/>
  <c r="L435" i="3" l="1"/>
  <c r="Y434" i="3" s="1"/>
  <c r="AD435" i="3"/>
  <c r="AC436" i="3"/>
  <c r="Z436" i="3"/>
  <c r="P436" i="3"/>
  <c r="Q436" i="3" s="1"/>
  <c r="R436" i="3" s="1"/>
  <c r="S436" i="3" s="1"/>
  <c r="AA436" i="3"/>
  <c r="U435" i="3" l="1"/>
  <c r="T436" i="3"/>
  <c r="E436" i="3" l="1"/>
  <c r="H436" i="3" s="1"/>
  <c r="D436" i="3"/>
  <c r="AH436" i="3"/>
  <c r="AG436" i="3"/>
  <c r="F436" i="3" l="1"/>
  <c r="G436" i="3"/>
  <c r="K436" i="3"/>
  <c r="AE436" i="3" s="1"/>
  <c r="I436" i="3" l="1"/>
  <c r="J436" i="3"/>
  <c r="AD436" i="3" s="1"/>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C439" i="3"/>
  <c r="AA439" i="3"/>
  <c r="T439" i="3" l="1"/>
  <c r="L438" i="3"/>
  <c r="AG439" i="3" l="1"/>
  <c r="AH439" i="3"/>
  <c r="U438" i="3"/>
  <c r="E439" i="3" s="1"/>
  <c r="H439" i="3" s="1"/>
  <c r="Y437" i="3"/>
  <c r="D439" i="3" l="1"/>
  <c r="G439" i="3" s="1"/>
  <c r="K439" i="3"/>
  <c r="AE439" i="3" s="1"/>
  <c r="F439" i="3" l="1"/>
  <c r="V439" i="3"/>
  <c r="A440" i="3"/>
  <c r="B440" i="3" s="1"/>
  <c r="I439" i="3"/>
  <c r="J439" i="3"/>
  <c r="AD439" i="3" s="1"/>
  <c r="M439" i="3"/>
  <c r="N439" i="3" s="1"/>
  <c r="W439" i="3" l="1"/>
  <c r="L439" i="3"/>
  <c r="Z440" i="3"/>
  <c r="AC440" i="3"/>
  <c r="P440" i="3"/>
  <c r="Q440" i="3" s="1"/>
  <c r="R440" i="3" s="1"/>
  <c r="S440" i="3" s="1"/>
  <c r="AA440" i="3"/>
  <c r="T440" i="3" l="1"/>
  <c r="AH440" i="3" s="1"/>
  <c r="U439" i="3"/>
  <c r="Y438" i="3"/>
  <c r="AG440" i="3" l="1"/>
  <c r="D440" i="3"/>
  <c r="E440" i="3"/>
  <c r="H440" i="3" s="1"/>
  <c r="K440" i="3" l="1"/>
  <c r="AE440" i="3" s="1"/>
  <c r="F440" i="3"/>
  <c r="G440" i="3"/>
  <c r="I440" i="3" l="1"/>
  <c r="J440" i="3"/>
  <c r="AD440" i="3" s="1"/>
  <c r="M440" i="3"/>
  <c r="N440" i="3" s="1"/>
  <c r="V440" i="3"/>
  <c r="A441" i="3"/>
  <c r="B441" i="3" s="1"/>
  <c r="W440" i="3" l="1"/>
  <c r="L440" i="3"/>
  <c r="P441" i="3"/>
  <c r="Q441" i="3" s="1"/>
  <c r="R441" i="3" s="1"/>
  <c r="S441" i="3" s="1"/>
  <c r="AC441" i="3"/>
  <c r="Z441" i="3"/>
  <c r="AA441" i="3"/>
  <c r="T441" i="3" l="1"/>
  <c r="AH441" i="3" s="1"/>
  <c r="U440" i="3"/>
  <c r="Y439" i="3"/>
  <c r="E441" i="3" l="1"/>
  <c r="H441" i="3" s="1"/>
  <c r="K441" i="3" s="1"/>
  <c r="AE441" i="3" s="1"/>
  <c r="AG441" i="3"/>
  <c r="D441" i="3"/>
  <c r="V441" i="3" l="1"/>
  <c r="A442" i="3"/>
  <c r="B442" i="3" s="1"/>
  <c r="F441" i="3"/>
  <c r="G441" i="3"/>
  <c r="I441" i="3" l="1"/>
  <c r="W441" i="3" s="1"/>
  <c r="J441" i="3"/>
  <c r="AD441" i="3" s="1"/>
  <c r="M441" i="3"/>
  <c r="N441" i="3" s="1"/>
  <c r="AC442" i="3"/>
  <c r="AA442" i="3"/>
  <c r="P442" i="3"/>
  <c r="Q442" i="3" s="1"/>
  <c r="R442" i="3" s="1"/>
  <c r="S442" i="3" s="1"/>
  <c r="Z442" i="3"/>
  <c r="T442" i="3" l="1"/>
  <c r="L441" i="3"/>
  <c r="U441" i="3" l="1"/>
  <c r="D442" i="3" s="1"/>
  <c r="AH442" i="3"/>
  <c r="AG442" i="3"/>
  <c r="Y440" i="3"/>
  <c r="G442" i="3" l="1"/>
  <c r="E442" i="3"/>
  <c r="H442" i="3" s="1"/>
  <c r="I442" i="3" l="1"/>
  <c r="J442" i="3"/>
  <c r="AD442" i="3" s="1"/>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A449" i="3"/>
  <c r="Z449" i="3"/>
  <c r="AC449" i="3"/>
  <c r="T449" i="3" l="1"/>
  <c r="D449" i="3" s="1"/>
  <c r="G449" i="3" l="1"/>
  <c r="AG449" i="3"/>
  <c r="AH449" i="3"/>
  <c r="E449" i="3"/>
  <c r="H449" i="3" s="1"/>
  <c r="K449" i="3" l="1"/>
  <c r="AE449" i="3" s="1"/>
  <c r="F449" i="3"/>
  <c r="I449" i="3"/>
  <c r="J449" i="3"/>
  <c r="AD449" i="3" s="1"/>
  <c r="M449" i="3"/>
  <c r="N449" i="3" s="1"/>
  <c r="L449" i="3" l="1"/>
  <c r="V449" i="3"/>
  <c r="W449" i="3" s="1"/>
  <c r="A450" i="3"/>
  <c r="B450" i="3" s="1"/>
  <c r="P450" i="3" l="1"/>
  <c r="Q450" i="3" s="1"/>
  <c r="R450" i="3" s="1"/>
  <c r="S450" i="3" s="1"/>
  <c r="Z450" i="3"/>
  <c r="AC450" i="3"/>
  <c r="AA450" i="3"/>
  <c r="U449" i="3"/>
  <c r="Y448" i="3"/>
  <c r="T450" i="3" l="1"/>
  <c r="D450" i="3" s="1"/>
  <c r="AH450" i="3" l="1"/>
  <c r="G450" i="3"/>
  <c r="E450" i="3"/>
  <c r="H450" i="3" s="1"/>
  <c r="AG450" i="3"/>
  <c r="F450" i="3" l="1"/>
  <c r="I450" i="3"/>
  <c r="J450" i="3"/>
  <c r="AD450" i="3" s="1"/>
  <c r="M450" i="3"/>
  <c r="N450" i="3" s="1"/>
  <c r="K450" i="3"/>
  <c r="AE450" i="3" s="1"/>
  <c r="V450" i="3" l="1"/>
  <c r="W450" i="3" s="1"/>
  <c r="A451" i="3"/>
  <c r="B451" i="3" s="1"/>
  <c r="L450" i="3"/>
  <c r="U450" i="3" l="1"/>
  <c r="Y449" i="3"/>
  <c r="P451" i="3"/>
  <c r="Q451" i="3" s="1"/>
  <c r="R451" i="3" s="1"/>
  <c r="S451" i="3" s="1"/>
  <c r="Z451" i="3"/>
  <c r="AA451" i="3"/>
  <c r="AC451" i="3"/>
  <c r="T451" i="3" l="1"/>
  <c r="AG451" i="3" s="1"/>
  <c r="E451" i="3" l="1"/>
  <c r="H451" i="3" s="1"/>
  <c r="K451" i="3" s="1"/>
  <c r="AE451" i="3" s="1"/>
  <c r="AH451" i="3"/>
  <c r="D451" i="3"/>
  <c r="V451" i="3" l="1"/>
  <c r="A452" i="3"/>
  <c r="B452" i="3" s="1"/>
  <c r="F451" i="3"/>
  <c r="G451" i="3"/>
  <c r="I451" i="3" l="1"/>
  <c r="W451" i="3" s="1"/>
  <c r="J451" i="3"/>
  <c r="AD451" i="3" s="1"/>
  <c r="M451" i="3"/>
  <c r="N451" i="3" s="1"/>
  <c r="AA452" i="3"/>
  <c r="P452" i="3"/>
  <c r="Q452" i="3" s="1"/>
  <c r="R452" i="3" s="1"/>
  <c r="S452" i="3" s="1"/>
  <c r="AC452" i="3"/>
  <c r="Z452" i="3"/>
  <c r="T452" i="3" l="1"/>
  <c r="L451" i="3"/>
  <c r="U451" i="3" l="1"/>
  <c r="D452" i="3" s="1"/>
  <c r="AH452" i="3"/>
  <c r="AG452" i="3"/>
  <c r="Y450" i="3"/>
  <c r="E452" i="3" l="1"/>
  <c r="H452" i="3" s="1"/>
  <c r="K452" i="3" s="1"/>
  <c r="AE452" i="3" s="1"/>
  <c r="G452" i="3"/>
  <c r="F452" i="3" l="1"/>
  <c r="I452" i="3"/>
  <c r="J452" i="3"/>
  <c r="AD452" i="3" s="1"/>
  <c r="M452" i="3"/>
  <c r="N452" i="3" s="1"/>
  <c r="V452" i="3"/>
  <c r="A453" i="3"/>
  <c r="B453" i="3" s="1"/>
  <c r="W452" i="3" l="1"/>
  <c r="L452" i="3"/>
  <c r="AA453" i="3"/>
  <c r="P453" i="3"/>
  <c r="Q453" i="3" s="1"/>
  <c r="R453" i="3" s="1"/>
  <c r="S453" i="3" s="1"/>
  <c r="AC453" i="3"/>
  <c r="Z453" i="3"/>
  <c r="U452" i="3" l="1"/>
  <c r="Y451" i="3"/>
  <c r="T453" i="3"/>
  <c r="AH453" i="3" s="1"/>
  <c r="AG453" i="3" l="1"/>
  <c r="E453" i="3"/>
  <c r="H453" i="3" s="1"/>
  <c r="D453" i="3"/>
  <c r="K453" i="3" l="1"/>
  <c r="AE453" i="3" s="1"/>
  <c r="F453" i="3"/>
  <c r="G453" i="3"/>
  <c r="I453" i="3" l="1"/>
  <c r="J453" i="3"/>
  <c r="AD453" i="3" s="1"/>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AD455" i="3" s="1"/>
  <c r="M455" i="3"/>
  <c r="N455" i="3" s="1"/>
  <c r="V455" i="3"/>
  <c r="A456" i="3"/>
  <c r="B456" i="3" s="1"/>
  <c r="W455" i="3" l="1"/>
  <c r="L455" i="3"/>
  <c r="AC456" i="3"/>
  <c r="P456" i="3"/>
  <c r="Q456" i="3" s="1"/>
  <c r="R456" i="3" s="1"/>
  <c r="S456" i="3" s="1"/>
  <c r="Z456" i="3"/>
  <c r="AA456" i="3"/>
  <c r="U455" i="3" l="1"/>
  <c r="Y454" i="3"/>
  <c r="T456" i="3"/>
  <c r="AG456" i="3" s="1"/>
  <c r="D456" i="3" l="1"/>
  <c r="G456" i="3" s="1"/>
  <c r="AH456" i="3"/>
  <c r="E456" i="3"/>
  <c r="H456" i="3" s="1"/>
  <c r="I456" i="3" l="1"/>
  <c r="J456" i="3"/>
  <c r="AD456" i="3" s="1"/>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C459" i="3"/>
  <c r="T459" i="3" l="1"/>
  <c r="AH459" i="3" s="1"/>
  <c r="U458" i="3"/>
  <c r="Y457" i="3"/>
  <c r="AG459" i="3" l="1"/>
  <c r="D459" i="3"/>
  <c r="E459" i="3"/>
  <c r="H459" i="3" s="1"/>
  <c r="K459" i="3" l="1"/>
  <c r="AE459" i="3" s="1"/>
  <c r="F459" i="3"/>
  <c r="G459" i="3"/>
  <c r="I459" i="3" l="1"/>
  <c r="J459" i="3"/>
  <c r="AD459" i="3" s="1"/>
  <c r="M459" i="3"/>
  <c r="N459" i="3" s="1"/>
  <c r="V459" i="3"/>
  <c r="A460" i="3"/>
  <c r="B460" i="3" s="1"/>
  <c r="W459" i="3" l="1"/>
  <c r="L459" i="3"/>
  <c r="P460" i="3"/>
  <c r="Q460" i="3" s="1"/>
  <c r="R460" i="3" s="1"/>
  <c r="S460" i="3" s="1"/>
  <c r="Z460" i="3"/>
  <c r="AA460" i="3"/>
  <c r="AC460" i="3"/>
  <c r="U459" i="3" l="1"/>
  <c r="Y458" i="3"/>
  <c r="T460" i="3"/>
  <c r="D460" i="3" l="1"/>
  <c r="G460" i="3" s="1"/>
  <c r="AH460" i="3"/>
  <c r="E460" i="3"/>
  <c r="H460" i="3" s="1"/>
  <c r="AG460" i="3"/>
  <c r="F460" i="3" l="1"/>
  <c r="I460" i="3"/>
  <c r="J460" i="3"/>
  <c r="AD460" i="3" s="1"/>
  <c r="M460" i="3"/>
  <c r="N460" i="3" s="1"/>
  <c r="K460" i="3"/>
  <c r="AE460" i="3" s="1"/>
  <c r="V460" i="3" l="1"/>
  <c r="W460" i="3" s="1"/>
  <c r="A461" i="3"/>
  <c r="B461" i="3" s="1"/>
  <c r="L460" i="3"/>
  <c r="U460" i="3" l="1"/>
  <c r="Y459" i="3"/>
  <c r="AC461" i="3"/>
  <c r="Z461" i="3"/>
  <c r="P461" i="3"/>
  <c r="Q461" i="3" s="1"/>
  <c r="R461" i="3" s="1"/>
  <c r="S461" i="3" s="1"/>
  <c r="AA461" i="3"/>
  <c r="T461" i="3" l="1"/>
  <c r="D461" i="3" s="1"/>
  <c r="AG461" i="3" l="1"/>
  <c r="G461" i="3"/>
  <c r="AH461" i="3"/>
  <c r="E461" i="3"/>
  <c r="H461" i="3" s="1"/>
  <c r="F461" i="3" l="1"/>
  <c r="I461" i="3"/>
  <c r="J461" i="3"/>
  <c r="AD461" i="3" s="1"/>
  <c r="M461" i="3"/>
  <c r="N461" i="3" s="1"/>
  <c r="K461" i="3"/>
  <c r="AE461" i="3" s="1"/>
  <c r="V461" i="3" l="1"/>
  <c r="W461" i="3" s="1"/>
  <c r="A462" i="3"/>
  <c r="B462" i="3" s="1"/>
  <c r="L461" i="3"/>
  <c r="U461" i="3" l="1"/>
  <c r="Y460" i="3"/>
  <c r="Z462" i="3"/>
  <c r="P462" i="3"/>
  <c r="Q462" i="3" s="1"/>
  <c r="R462" i="3" s="1"/>
  <c r="S462" i="3" s="1"/>
  <c r="AA462" i="3"/>
  <c r="AC462" i="3"/>
  <c r="T462" i="3" l="1"/>
  <c r="E462" i="3" s="1"/>
  <c r="H462" i="3" s="1"/>
  <c r="AG462" i="3" l="1"/>
  <c r="AH462" i="3"/>
  <c r="D462" i="3"/>
  <c r="G462" i="3" s="1"/>
  <c r="K462" i="3"/>
  <c r="AE462" i="3" s="1"/>
  <c r="F462" i="3" l="1"/>
  <c r="V462" i="3"/>
  <c r="A463" i="3"/>
  <c r="B463" i="3" s="1"/>
  <c r="I462" i="3"/>
  <c r="J462" i="3"/>
  <c r="AD462" i="3" s="1"/>
  <c r="M462" i="3"/>
  <c r="N462" i="3" s="1"/>
  <c r="W462" i="3" l="1"/>
  <c r="L462" i="3"/>
  <c r="P463" i="3"/>
  <c r="Q463" i="3" s="1"/>
  <c r="R463" i="3" s="1"/>
  <c r="S463" i="3" s="1"/>
  <c r="AC463" i="3"/>
  <c r="Z463" i="3"/>
  <c r="AA463" i="3"/>
  <c r="U462" i="3" l="1"/>
  <c r="Y461" i="3"/>
  <c r="T463" i="3"/>
  <c r="AH463" i="3" s="1"/>
  <c r="AG463" i="3" l="1"/>
  <c r="D463" i="3"/>
  <c r="E463" i="3"/>
  <c r="H463" i="3" s="1"/>
  <c r="F463" i="3" l="1"/>
  <c r="G463" i="3"/>
  <c r="K463" i="3"/>
  <c r="AE463" i="3" s="1"/>
  <c r="V463" i="3" l="1"/>
  <c r="A464" i="3"/>
  <c r="B464" i="3" s="1"/>
  <c r="I463" i="3"/>
  <c r="J463" i="3"/>
  <c r="AD463" i="3" s="1"/>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D475" i="3"/>
  <c r="AA475" i="3"/>
  <c r="T475" i="3" l="1"/>
  <c r="AG475" i="3" s="1"/>
  <c r="AH475" i="3" l="1"/>
  <c r="E475" i="3"/>
  <c r="H475" i="3" s="1"/>
  <c r="K475" i="3" s="1"/>
  <c r="AE475" i="3" s="1"/>
  <c r="D475" i="3"/>
  <c r="F475" i="3" l="1"/>
  <c r="G475" i="3"/>
  <c r="M475" i="3" s="1"/>
  <c r="N475" i="3" s="1"/>
  <c r="V475" i="3"/>
  <c r="A476" i="3"/>
  <c r="B476" i="3" s="1"/>
  <c r="I475" i="3" l="1"/>
  <c r="W475" i="3" s="1"/>
  <c r="J475" i="3"/>
  <c r="L475" i="3" s="1"/>
  <c r="P476" i="3"/>
  <c r="Q476" i="3" s="1"/>
  <c r="R476" i="3" s="1"/>
  <c r="S476" i="3" s="1"/>
  <c r="AA476" i="3"/>
  <c r="AD476" i="3"/>
  <c r="Z476" i="3"/>
  <c r="AC476" i="3"/>
  <c r="U475" i="3" l="1"/>
  <c r="Y474" i="3"/>
  <c r="T476" i="3"/>
  <c r="AG476" i="3" s="1"/>
  <c r="D476" i="3" l="1"/>
  <c r="G476" i="3" s="1"/>
  <c r="E476" i="3"/>
  <c r="H476" i="3" s="1"/>
  <c r="K476" i="3" s="1"/>
  <c r="AE476" i="3" s="1"/>
  <c r="AH476" i="3"/>
  <c r="F476" i="3" l="1"/>
  <c r="V476" i="3"/>
  <c r="A477" i="3"/>
  <c r="B477" i="3" s="1"/>
  <c r="I476" i="3"/>
  <c r="J476" i="3"/>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D479" i="3"/>
  <c r="AC479" i="3"/>
  <c r="AA479" i="3"/>
  <c r="Z479" i="3"/>
  <c r="T479" i="3" l="1"/>
  <c r="L478" i="3"/>
  <c r="U478" i="3" l="1"/>
  <c r="E479" i="3" s="1"/>
  <c r="H479" i="3" s="1"/>
  <c r="AH479" i="3"/>
  <c r="AG479" i="3"/>
  <c r="Y477" i="3"/>
  <c r="D479" i="3" l="1"/>
  <c r="G479" i="3" s="1"/>
  <c r="K479" i="3"/>
  <c r="AE479" i="3" s="1"/>
  <c r="F479" i="3" l="1"/>
  <c r="I479" i="3"/>
  <c r="J479" i="3"/>
  <c r="M479" i="3"/>
  <c r="N479" i="3" s="1"/>
  <c r="V479" i="3"/>
  <c r="A480" i="3"/>
  <c r="B480" i="3" s="1"/>
  <c r="W479" i="3" l="1"/>
  <c r="AA480" i="3"/>
  <c r="P480" i="3"/>
  <c r="Q480" i="3" s="1"/>
  <c r="R480" i="3" s="1"/>
  <c r="S480" i="3" s="1"/>
  <c r="AD480" i="3"/>
  <c r="AC480" i="3"/>
  <c r="Z480" i="3"/>
  <c r="L479" i="3"/>
  <c r="U479" i="3" l="1"/>
  <c r="Y478" i="3"/>
  <c r="T480" i="3"/>
  <c r="E480" i="3" l="1"/>
  <c r="H480" i="3" s="1"/>
  <c r="K480" i="3" s="1"/>
  <c r="AE480" i="3" s="1"/>
  <c r="AH480" i="3"/>
  <c r="AG480" i="3"/>
  <c r="D480" i="3"/>
  <c r="V480" i="3" l="1"/>
  <c r="A481" i="3"/>
  <c r="B481" i="3" s="1"/>
  <c r="F480" i="3"/>
  <c r="G480" i="3"/>
  <c r="I480" i="3" l="1"/>
  <c r="W480" i="3" s="1"/>
  <c r="J480" i="3"/>
  <c r="M480" i="3"/>
  <c r="N480" i="3" s="1"/>
  <c r="P481" i="3"/>
  <c r="Q481" i="3" s="1"/>
  <c r="R481" i="3" s="1"/>
  <c r="S481" i="3" s="1"/>
  <c r="AC481" i="3"/>
  <c r="AA481" i="3"/>
  <c r="AD481" i="3"/>
  <c r="Z481" i="3"/>
  <c r="T481" i="3" l="1"/>
  <c r="L480" i="3"/>
  <c r="U480" i="3" l="1"/>
  <c r="D481" i="3" s="1"/>
  <c r="AG481" i="3"/>
  <c r="AH481" i="3"/>
  <c r="Y479" i="3"/>
  <c r="G481" i="3" l="1"/>
  <c r="E481" i="3"/>
  <c r="H481" i="3" s="1"/>
  <c r="K481" i="3" l="1"/>
  <c r="AE481" i="3" s="1"/>
  <c r="I481" i="3"/>
  <c r="J481" i="3"/>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D483" i="3"/>
  <c r="AA483" i="3"/>
  <c r="T483" i="3" l="1"/>
  <c r="E483" i="3" s="1"/>
  <c r="H483" i="3" s="1"/>
  <c r="AG483" i="3" l="1"/>
  <c r="AH483" i="3"/>
  <c r="D483" i="3"/>
  <c r="G483" i="3" s="1"/>
  <c r="K483" i="3"/>
  <c r="AE483" i="3" s="1"/>
  <c r="F483" i="3" l="1"/>
  <c r="I483" i="3"/>
  <c r="J483" i="3"/>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D485" i="3"/>
  <c r="AA485" i="3"/>
  <c r="AC485" i="3"/>
  <c r="Z485" i="3"/>
  <c r="U484" i="3" l="1"/>
  <c r="Y483" i="3"/>
  <c r="T485" i="3"/>
  <c r="D485" i="3" l="1"/>
  <c r="G485" i="3" s="1"/>
  <c r="AG485" i="3"/>
  <c r="AH485" i="3"/>
  <c r="E485" i="3"/>
  <c r="H485" i="3" s="1"/>
  <c r="K485" i="3" s="1"/>
  <c r="AE485" i="3" s="1"/>
  <c r="F485" i="3" l="1"/>
  <c r="I485" i="3"/>
  <c r="J485" i="3"/>
  <c r="M485" i="3"/>
  <c r="N485" i="3" s="1"/>
  <c r="V485" i="3"/>
  <c r="A486" i="3"/>
  <c r="B486" i="3" s="1"/>
  <c r="W485" i="3" l="1"/>
  <c r="L485" i="3"/>
  <c r="AA486" i="3"/>
  <c r="P486" i="3"/>
  <c r="Q486" i="3" s="1"/>
  <c r="R486" i="3" s="1"/>
  <c r="S486" i="3" s="1"/>
  <c r="AC486" i="3"/>
  <c r="AD486" i="3"/>
  <c r="Z486" i="3"/>
  <c r="T486" i="3" l="1"/>
  <c r="AH486" i="3" s="1"/>
  <c r="U485" i="3"/>
  <c r="Y484" i="3"/>
  <c r="D486" i="3" l="1"/>
  <c r="G486" i="3" s="1"/>
  <c r="AG486" i="3"/>
  <c r="E486" i="3"/>
  <c r="H486" i="3" s="1"/>
  <c r="K486" i="3" s="1"/>
  <c r="AE486" i="3" s="1"/>
  <c r="F486" i="3" l="1"/>
  <c r="V486" i="3"/>
  <c r="A487" i="3"/>
  <c r="B487" i="3" s="1"/>
  <c r="I486" i="3"/>
  <c r="J486" i="3"/>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AD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L489" i="3" s="1"/>
  <c r="Z490" i="3"/>
  <c r="AC490" i="3"/>
  <c r="P490" i="3"/>
  <c r="Q490" i="3" s="1"/>
  <c r="R490" i="3" s="1"/>
  <c r="S490" i="3" s="1"/>
  <c r="AD490" i="3"/>
  <c r="AA490" i="3"/>
  <c r="T490" i="3" l="1"/>
  <c r="AH490" i="3" s="1"/>
  <c r="U489" i="3"/>
  <c r="Y488" i="3"/>
  <c r="E490" i="3" l="1"/>
  <c r="H490" i="3" s="1"/>
  <c r="K490" i="3" s="1"/>
  <c r="AE490" i="3" s="1"/>
  <c r="D490" i="3"/>
  <c r="AG490" i="3"/>
  <c r="V490" i="3" l="1"/>
  <c r="A491" i="3"/>
  <c r="B491" i="3" s="1"/>
  <c r="F490" i="3"/>
  <c r="G490" i="3"/>
  <c r="I490" i="3" l="1"/>
  <c r="W490" i="3" s="1"/>
  <c r="J490" i="3"/>
  <c r="M490" i="3"/>
  <c r="N490" i="3" s="1"/>
  <c r="P491" i="3"/>
  <c r="Q491" i="3" s="1"/>
  <c r="R491" i="3" s="1"/>
  <c r="S491" i="3" s="1"/>
  <c r="Z491" i="3"/>
  <c r="AD491" i="3"/>
  <c r="AC491" i="3"/>
  <c r="AA491" i="3"/>
  <c r="T491" i="3" l="1"/>
  <c r="L490" i="3"/>
  <c r="AH491" i="3" l="1"/>
  <c r="U490" i="3"/>
  <c r="D491" i="3" s="1"/>
  <c r="AG491" i="3"/>
  <c r="Y489" i="3"/>
  <c r="E491" i="3" l="1"/>
  <c r="H491" i="3" s="1"/>
  <c r="K491" i="3" s="1"/>
  <c r="AE491" i="3" s="1"/>
  <c r="G491" i="3"/>
  <c r="F491" i="3" l="1"/>
  <c r="I491" i="3"/>
  <c r="J491" i="3"/>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A505" i="3"/>
  <c r="L504" i="3" l="1"/>
  <c r="Y503" i="3" s="1"/>
  <c r="AD504" i="3"/>
  <c r="T505" i="3"/>
  <c r="AH505" i="3" l="1"/>
  <c r="U504" i="3"/>
  <c r="D505" i="3" s="1"/>
  <c r="G505" i="3" s="1"/>
  <c r="AG505" i="3"/>
  <c r="E505" i="3" l="1"/>
  <c r="H505" i="3" s="1"/>
  <c r="K505" i="3" s="1"/>
  <c r="AE505" i="3" s="1"/>
  <c r="J505" i="3"/>
  <c r="AD505" i="3" s="1"/>
  <c r="I505" i="3" l="1"/>
  <c r="F505" i="3"/>
  <c r="V505" i="3"/>
  <c r="M505" i="3"/>
  <c r="N505" i="3" s="1"/>
  <c r="A506" i="3"/>
  <c r="B506" i="3" s="1"/>
  <c r="P506" i="3" s="1"/>
  <c r="Q506" i="3" s="1"/>
  <c r="R506" i="3" s="1"/>
  <c r="S506" i="3" s="1"/>
  <c r="L505" i="3"/>
  <c r="W505" i="3" l="1"/>
  <c r="AA506" i="3"/>
  <c r="AC506" i="3"/>
  <c r="Z506" i="3"/>
  <c r="U505" i="3"/>
  <c r="Y504" i="3"/>
  <c r="T506" i="3"/>
  <c r="AG506" i="3" l="1"/>
  <c r="D506" i="3"/>
  <c r="G506" i="3" s="1"/>
  <c r="AH506" i="3"/>
  <c r="E506" i="3"/>
  <c r="H506" i="3" s="1"/>
  <c r="K506" i="3" s="1"/>
  <c r="AE506" i="3" s="1"/>
  <c r="F506" i="3" l="1"/>
  <c r="I506" i="3"/>
  <c r="J506" i="3"/>
  <c r="AD506" i="3" s="1"/>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C509" i="3" l="1"/>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AD509" i="3" s="1"/>
  <c r="M509" i="3"/>
  <c r="N509" i="3" s="1"/>
  <c r="K509" i="3"/>
  <c r="AE509" i="3" s="1"/>
  <c r="V509" i="3" l="1"/>
  <c r="W509" i="3" s="1"/>
  <c r="A510" i="3"/>
  <c r="B510" i="3" s="1"/>
  <c r="L509" i="3"/>
  <c r="U509" i="3" l="1"/>
  <c r="Y508" i="3"/>
  <c r="AC510" i="3"/>
  <c r="Z510" i="3"/>
  <c r="AA510" i="3"/>
  <c r="P510" i="3"/>
  <c r="Q510" i="3" s="1"/>
  <c r="R510" i="3" s="1"/>
  <c r="S510" i="3" s="1"/>
  <c r="T510" i="3" l="1"/>
  <c r="AH510" i="3" l="1"/>
  <c r="E510" i="3"/>
  <c r="H510" i="3" s="1"/>
  <c r="D510" i="3"/>
  <c r="AG510" i="3"/>
  <c r="F510" i="3" l="1"/>
  <c r="G510" i="3"/>
  <c r="K510" i="3"/>
  <c r="AE510" i="3" s="1"/>
  <c r="V510" i="3" l="1"/>
  <c r="A511" i="3"/>
  <c r="B511" i="3" s="1"/>
  <c r="I510" i="3"/>
  <c r="J510" i="3"/>
  <c r="AD510" i="3" s="1"/>
  <c r="M510" i="3"/>
  <c r="N510" i="3" s="1"/>
  <c r="L510" i="3" l="1"/>
  <c r="AA511" i="3"/>
  <c r="AC511" i="3"/>
  <c r="P511" i="3"/>
  <c r="Q511" i="3" s="1"/>
  <c r="R511" i="3" s="1"/>
  <c r="S511" i="3" s="1"/>
  <c r="Z511" i="3"/>
  <c r="W510" i="3"/>
  <c r="U510" i="3" l="1"/>
  <c r="Y509" i="3"/>
  <c r="T511" i="3"/>
  <c r="AG511" i="3" s="1"/>
  <c r="AH511" i="3" l="1"/>
  <c r="D511" i="3"/>
  <c r="E511" i="3"/>
  <c r="H511" i="3" s="1"/>
  <c r="F511" i="3" l="1"/>
  <c r="G511" i="3"/>
  <c r="K511" i="3"/>
  <c r="AE511" i="3" s="1"/>
  <c r="V511" i="3" l="1"/>
  <c r="A512" i="3"/>
  <c r="B512" i="3" s="1"/>
  <c r="I511" i="3"/>
  <c r="J511" i="3"/>
  <c r="AD511" i="3" s="1"/>
  <c r="M511" i="3"/>
  <c r="N511" i="3" s="1"/>
  <c r="W511" i="3" l="1"/>
  <c r="L511" i="3"/>
  <c r="AC512" i="3"/>
  <c r="Z512" i="3"/>
  <c r="AA512" i="3"/>
  <c r="P512" i="3"/>
  <c r="Q512" i="3" s="1"/>
  <c r="R512" i="3" s="1"/>
  <c r="S512" i="3" s="1"/>
  <c r="T512" i="3" l="1"/>
  <c r="U511" i="3"/>
  <c r="Y510" i="3"/>
  <c r="D512" i="3" l="1"/>
  <c r="G512" i="3" s="1"/>
  <c r="AH512" i="3"/>
  <c r="E512" i="3"/>
  <c r="H512" i="3" s="1"/>
  <c r="K512" i="3" s="1"/>
  <c r="AE512" i="3" s="1"/>
  <c r="AG512" i="3"/>
  <c r="F512" i="3" l="1"/>
  <c r="I512" i="3"/>
  <c r="J512" i="3"/>
  <c r="AD512" i="3" s="1"/>
  <c r="M512" i="3"/>
  <c r="N512" i="3" s="1"/>
  <c r="V512" i="3"/>
  <c r="A513" i="3"/>
  <c r="B513" i="3" s="1"/>
  <c r="W512" i="3" l="1"/>
  <c r="L512" i="3"/>
  <c r="AA513" i="3"/>
  <c r="P513" i="3"/>
  <c r="Q513" i="3" s="1"/>
  <c r="R513" i="3" s="1"/>
  <c r="S513" i="3" s="1"/>
  <c r="AC513" i="3"/>
  <c r="Z513" i="3"/>
  <c r="T513" i="3" l="1"/>
  <c r="AG513" i="3" s="1"/>
  <c r="U512" i="3"/>
  <c r="Y511" i="3"/>
  <c r="AH513" i="3" l="1"/>
  <c r="E513" i="3"/>
  <c r="H513" i="3" s="1"/>
  <c r="D513" i="3"/>
  <c r="F513" i="3" l="1"/>
  <c r="G513" i="3"/>
  <c r="K513" i="3"/>
  <c r="AE513" i="3" s="1"/>
  <c r="V513" i="3" l="1"/>
  <c r="A514" i="3"/>
  <c r="B514" i="3" s="1"/>
  <c r="I513" i="3"/>
  <c r="J513" i="3"/>
  <c r="AD513" i="3" s="1"/>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D533" i="3"/>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AD542" i="3" s="1"/>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P592" i="3"/>
  <c r="Q592" i="3" s="1"/>
  <c r="R592" i="3" s="1"/>
  <c r="S592" i="3" s="1"/>
  <c r="U591" i="3" l="1"/>
  <c r="Y590" i="3"/>
  <c r="T592" i="3"/>
  <c r="D592" i="3" l="1"/>
  <c r="G592" i="3" s="1"/>
  <c r="AH592" i="3"/>
  <c r="AG592" i="3"/>
  <c r="E592" i="3"/>
  <c r="H592" i="3" s="1"/>
  <c r="K592" i="3" s="1"/>
  <c r="AE592" i="3" s="1"/>
  <c r="F592" i="3" l="1"/>
  <c r="I592" i="3"/>
  <c r="J592" i="3"/>
  <c r="AD592" i="3" s="1"/>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C612" i="3"/>
  <c r="AA612" i="3"/>
  <c r="T612" i="3" l="1"/>
  <c r="L611" i="3"/>
  <c r="U611" i="3" l="1"/>
  <c r="E612" i="3" s="1"/>
  <c r="H612" i="3" s="1"/>
  <c r="AH612" i="3"/>
  <c r="AG612" i="3"/>
  <c r="Y610" i="3"/>
  <c r="D612" i="3" l="1"/>
  <c r="G612" i="3" s="1"/>
  <c r="K612" i="3"/>
  <c r="AE612" i="3" s="1"/>
  <c r="F612" i="3" l="1"/>
  <c r="V612" i="3"/>
  <c r="A613" i="3"/>
  <c r="B613" i="3" s="1"/>
  <c r="I612" i="3"/>
  <c r="J612" i="3"/>
  <c r="AD612" i="3" s="1"/>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T622" i="3" l="1"/>
  <c r="AG622" i="3" s="1"/>
  <c r="D622" i="3" l="1"/>
  <c r="E622" i="3"/>
  <c r="H622" i="3" s="1"/>
  <c r="K622" i="3" s="1"/>
  <c r="AE622" i="3" s="1"/>
  <c r="AH622" i="3"/>
  <c r="F622" i="3" l="1"/>
  <c r="G622" i="3"/>
  <c r="I622" i="3" s="1"/>
  <c r="V622" i="3"/>
  <c r="A623" i="3"/>
  <c r="B623" i="3" s="1"/>
  <c r="M622" i="3" l="1"/>
  <c r="N622" i="3" s="1"/>
  <c r="J622" i="3"/>
  <c r="W622" i="3"/>
  <c r="P623" i="3"/>
  <c r="Q623" i="3" s="1"/>
  <c r="R623" i="3" s="1"/>
  <c r="S623" i="3" s="1"/>
  <c r="Z623" i="3"/>
  <c r="AD623" i="3"/>
  <c r="AA623" i="3"/>
  <c r="AC623" i="3"/>
  <c r="L622" i="3" l="1"/>
  <c r="U622" i="3" s="1"/>
  <c r="AD622" i="3"/>
  <c r="T623" i="3"/>
  <c r="Y621" i="3" l="1"/>
  <c r="D623" i="3"/>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T632" i="3" l="1"/>
  <c r="U631" i="3"/>
  <c r="Y630" i="3"/>
  <c r="D632" i="3" l="1"/>
  <c r="G632" i="3" s="1"/>
  <c r="E632" i="3"/>
  <c r="H632" i="3" s="1"/>
  <c r="K632" i="3" s="1"/>
  <c r="AE632" i="3" s="1"/>
  <c r="AG632" i="3"/>
  <c r="AH632" i="3"/>
  <c r="F632" i="3" l="1"/>
  <c r="I632" i="3"/>
  <c r="J632" i="3"/>
  <c r="AD632" i="3" s="1"/>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P642" i="3"/>
  <c r="Q642" i="3" s="1"/>
  <c r="R642" i="3" s="1"/>
  <c r="S642" i="3" s="1"/>
  <c r="AC642" i="3"/>
  <c r="AA642" i="3"/>
  <c r="T642" i="3" l="1"/>
  <c r="L641" i="3"/>
  <c r="U641" i="3" l="1"/>
  <c r="D642" i="3" s="1"/>
  <c r="AG642" i="3"/>
  <c r="AH642" i="3"/>
  <c r="Y640" i="3"/>
  <c r="E642" i="3" l="1"/>
  <c r="H642" i="3" s="1"/>
  <c r="K642" i="3" s="1"/>
  <c r="AE642" i="3" s="1"/>
  <c r="G642" i="3"/>
  <c r="F642" i="3" l="1"/>
  <c r="I642" i="3"/>
  <c r="J642" i="3"/>
  <c r="AD642" i="3" s="1"/>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U651" i="3" l="1"/>
  <c r="Y650" i="3"/>
  <c r="T652" i="3"/>
  <c r="E652" i="3" l="1"/>
  <c r="H652" i="3" s="1"/>
  <c r="K652" i="3" s="1"/>
  <c r="AE652" i="3" s="1"/>
  <c r="AH652" i="3"/>
  <c r="AG652" i="3"/>
  <c r="D652" i="3"/>
  <c r="G652" i="3" s="1"/>
  <c r="F652" i="3" l="1"/>
  <c r="V652" i="3"/>
  <c r="A653" i="3"/>
  <c r="B653" i="3" s="1"/>
  <c r="I652" i="3"/>
  <c r="J652" i="3"/>
  <c r="AD652" i="3" s="1"/>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A662" i="3"/>
  <c r="AC662" i="3"/>
  <c r="T662" i="3" l="1"/>
  <c r="L661" i="3"/>
  <c r="AH662" i="3" l="1"/>
  <c r="AG662" i="3"/>
  <c r="U661" i="3"/>
  <c r="E662" i="3" s="1"/>
  <c r="H662" i="3" s="1"/>
  <c r="Y660" i="3"/>
  <c r="D662" i="3" l="1"/>
  <c r="F662" i="3" s="1"/>
  <c r="K662" i="3"/>
  <c r="AE662" i="3" s="1"/>
  <c r="G662" i="3" l="1"/>
  <c r="I662" i="3" s="1"/>
  <c r="V662" i="3"/>
  <c r="A663" i="3"/>
  <c r="B663" i="3" s="1"/>
  <c r="J662" i="3" l="1"/>
  <c r="M662" i="3"/>
  <c r="N662" i="3" s="1"/>
  <c r="W662" i="3"/>
  <c r="AA663" i="3"/>
  <c r="Z663" i="3"/>
  <c r="P663" i="3"/>
  <c r="Q663" i="3" s="1"/>
  <c r="R663" i="3" s="1"/>
  <c r="S663" i="3" s="1"/>
  <c r="AC663" i="3"/>
  <c r="AD663" i="3"/>
  <c r="L662" i="3" l="1"/>
  <c r="U662" i="3" s="1"/>
  <c r="AD662" i="3"/>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AD715" i="3"/>
  <c r="U714" i="3" l="1"/>
  <c r="Y713" i="3"/>
  <c r="T715" i="3"/>
  <c r="AG715" i="3" s="1"/>
  <c r="AH715" i="3" l="1"/>
  <c r="D715" i="3"/>
  <c r="G715" i="3" s="1"/>
  <c r="E715" i="3"/>
  <c r="H715" i="3" s="1"/>
  <c r="F715" i="3" l="1"/>
  <c r="I715" i="3"/>
  <c r="J715" i="3"/>
  <c r="M715" i="3"/>
  <c r="N715" i="3" s="1"/>
  <c r="K715" i="3"/>
  <c r="AE715" i="3" s="1"/>
  <c r="V715" i="3" l="1"/>
  <c r="W715" i="3" s="1"/>
  <c r="A716" i="3"/>
  <c r="B716" i="3" s="1"/>
  <c r="L715" i="3"/>
  <c r="U715" i="3" l="1"/>
  <c r="Y714" i="3"/>
  <c r="AC716" i="3"/>
  <c r="Z716" i="3"/>
  <c r="P716" i="3"/>
  <c r="Q716" i="3" s="1"/>
  <c r="R716" i="3" s="1"/>
  <c r="S716" i="3" s="1"/>
  <c r="AA716" i="3"/>
  <c r="AD716" i="3"/>
  <c r="T716" i="3" l="1"/>
  <c r="D716" i="3" s="1"/>
  <c r="E716" i="3" l="1"/>
  <c r="H716" i="3" s="1"/>
  <c r="K716" i="3" s="1"/>
  <c r="AE716" i="3" s="1"/>
  <c r="AH716" i="3"/>
  <c r="AG716" i="3"/>
  <c r="G716" i="3"/>
  <c r="F716" i="3" l="1"/>
  <c r="I716" i="3"/>
  <c r="J716" i="3"/>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AD739" i="3"/>
  <c r="Z739" i="3"/>
  <c r="T739" i="3" l="1"/>
  <c r="L738" i="3"/>
  <c r="AH739" i="3" l="1"/>
  <c r="U738" i="3"/>
  <c r="E739" i="3" s="1"/>
  <c r="H739" i="3" s="1"/>
  <c r="AG739" i="3"/>
  <c r="Y737" i="3"/>
  <c r="D739" i="3" l="1"/>
  <c r="G739" i="3" s="1"/>
  <c r="K739" i="3"/>
  <c r="AE739" i="3" s="1"/>
  <c r="F739" i="3" l="1"/>
  <c r="I739" i="3"/>
  <c r="J739" i="3"/>
  <c r="M739" i="3"/>
  <c r="N739" i="3" s="1"/>
  <c r="V739" i="3"/>
  <c r="A740" i="3"/>
  <c r="B740" i="3" s="1"/>
  <c r="W739" i="3" l="1"/>
  <c r="L739" i="3"/>
  <c r="P740" i="3"/>
  <c r="Q740" i="3" s="1"/>
  <c r="R740" i="3" s="1"/>
  <c r="S740" i="3" s="1"/>
  <c r="Z740" i="3"/>
  <c r="AC740" i="3"/>
  <c r="AD740" i="3"/>
  <c r="AA740" i="3"/>
  <c r="U739" i="3" l="1"/>
  <c r="Y738" i="3"/>
  <c r="T740" i="3"/>
  <c r="E740" i="3" l="1"/>
  <c r="H740" i="3" s="1"/>
  <c r="K740" i="3" s="1"/>
  <c r="AE740" i="3" s="1"/>
  <c r="D740" i="3"/>
  <c r="G740" i="3" s="1"/>
  <c r="AH740" i="3"/>
  <c r="AG740" i="3"/>
  <c r="F740" i="3" l="1"/>
  <c r="I740" i="3"/>
  <c r="J740" i="3"/>
  <c r="M740" i="3"/>
  <c r="N740" i="3" s="1"/>
  <c r="V740" i="3"/>
  <c r="A741" i="3"/>
  <c r="B741" i="3" s="1"/>
  <c r="W740" i="3" l="1"/>
  <c r="L740" i="3"/>
  <c r="AA741" i="3"/>
  <c r="P741" i="3"/>
  <c r="Q741" i="3" s="1"/>
  <c r="R741" i="3" s="1"/>
  <c r="S741" i="3" s="1"/>
  <c r="AD741" i="3"/>
  <c r="Z741" i="3"/>
  <c r="AC741" i="3"/>
  <c r="T741" i="3" l="1"/>
  <c r="AG741" i="3" s="1"/>
  <c r="U740" i="3"/>
  <c r="Y739" i="3"/>
  <c r="E741" i="3" l="1"/>
  <c r="H741" i="3" s="1"/>
  <c r="D741" i="3"/>
  <c r="AH741" i="3"/>
  <c r="K741" i="3" l="1"/>
  <c r="AE741" i="3" s="1"/>
  <c r="F741" i="3"/>
  <c r="G741" i="3"/>
  <c r="V741" i="3" l="1"/>
  <c r="A742" i="3"/>
  <c r="B742" i="3" s="1"/>
  <c r="I741" i="3"/>
  <c r="J741" i="3"/>
  <c r="M741" i="3"/>
  <c r="N741" i="3" s="1"/>
  <c r="L741" i="3" l="1"/>
  <c r="W741" i="3"/>
  <c r="AC742" i="3"/>
  <c r="P742" i="3"/>
  <c r="Q742" i="3" s="1"/>
  <c r="R742" i="3" s="1"/>
  <c r="S742" i="3" s="1"/>
  <c r="AD742" i="3"/>
  <c r="Z742" i="3"/>
  <c r="AA742" i="3"/>
  <c r="U741" i="3" l="1"/>
  <c r="Y740" i="3"/>
  <c r="T742" i="3"/>
  <c r="AG742" i="3" s="1"/>
  <c r="E742" i="3" l="1"/>
  <c r="H742" i="3" s="1"/>
  <c r="K742" i="3" s="1"/>
  <c r="AE742" i="3" s="1"/>
  <c r="AH742" i="3"/>
  <c r="D742" i="3"/>
  <c r="F742" i="3" l="1"/>
  <c r="G742" i="3"/>
  <c r="V742" i="3"/>
  <c r="A743" i="3"/>
  <c r="B743" i="3" s="1"/>
  <c r="I742" i="3" l="1"/>
  <c r="W742" i="3" s="1"/>
  <c r="J742" i="3"/>
  <c r="M742" i="3"/>
  <c r="N742" i="3" s="1"/>
  <c r="Z743" i="3"/>
  <c r="AA743" i="3"/>
  <c r="P743" i="3"/>
  <c r="Q743" i="3" s="1"/>
  <c r="R743" i="3" s="1"/>
  <c r="S743" i="3" s="1"/>
  <c r="AC743" i="3"/>
  <c r="AD743" i="3"/>
  <c r="T743" i="3" l="1"/>
  <c r="L742" i="3"/>
  <c r="U742" i="3" l="1"/>
  <c r="E743" i="3" s="1"/>
  <c r="H743" i="3" s="1"/>
  <c r="AH743" i="3"/>
  <c r="AG743" i="3"/>
  <c r="Y741" i="3"/>
  <c r="D743" i="3" l="1"/>
  <c r="G743" i="3" s="1"/>
  <c r="K743" i="3"/>
  <c r="AE743" i="3" s="1"/>
  <c r="F743" i="3" l="1"/>
  <c r="I743" i="3"/>
  <c r="J743" i="3"/>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H27" i="1"/>
  <c r="J31" i="7" s="1"/>
  <c r="L45" i="1"/>
  <c r="M45" i="1"/>
  <c r="K45" i="1"/>
  <c r="H45" i="1"/>
  <c r="I46" i="1"/>
  <c r="H46" i="1"/>
  <c r="J27" i="1"/>
  <c r="D164" i="1" s="1"/>
  <c r="M46" i="1"/>
  <c r="K27" i="1"/>
  <c r="K31" i="7" s="1"/>
  <c r="L46" i="1"/>
  <c r="I27" i="1"/>
  <c r="B164" i="1" s="1"/>
  <c r="I45" i="1"/>
  <c r="J46" i="1"/>
  <c r="H29" i="1"/>
  <c r="F155" i="1" s="1"/>
  <c r="M31" i="7"/>
  <c r="E121" i="7"/>
  <c r="F121" i="7" s="1"/>
  <c r="H116" i="7"/>
  <c r="H58" i="7"/>
  <c r="E64" i="7"/>
  <c r="F64" i="7" s="1"/>
  <c r="L43" i="1" l="1"/>
  <c r="K24" i="1"/>
  <c r="S26" i="6" s="1"/>
  <c r="K43" i="1"/>
  <c r="I43" i="1"/>
  <c r="J43" i="1"/>
  <c r="H55" i="7"/>
  <c r="H112" i="7"/>
  <c r="H53" i="7"/>
  <c r="P32" i="1"/>
  <c r="P33" i="1"/>
  <c r="I67" i="7"/>
  <c r="H43" i="1"/>
  <c r="K46" i="1"/>
  <c r="H47" i="1"/>
  <c r="M47" i="1"/>
  <c r="L47" i="1"/>
  <c r="K47" i="1"/>
  <c r="K29" i="1" s="1"/>
  <c r="M29" i="1" s="1"/>
  <c r="J47" i="1"/>
  <c r="J29"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D180" i="1"/>
  <c r="F201" i="1"/>
  <c r="D163" i="1"/>
  <c r="F200" i="1"/>
  <c r="D165" i="1"/>
  <c r="D173" i="1"/>
  <c r="D184" i="1"/>
  <c r="F168" i="1"/>
  <c r="F169" i="1"/>
  <c r="D193" i="1"/>
  <c r="F186" i="1"/>
  <c r="F170" i="1"/>
  <c r="D174" i="1"/>
  <c r="D172" i="1"/>
  <c r="F176" i="1"/>
  <c r="D182" i="1"/>
  <c r="D192" i="1"/>
  <c r="D186" i="1"/>
  <c r="F164" i="1"/>
  <c r="F199" i="1"/>
  <c r="D196" i="1"/>
  <c r="F183" i="1"/>
  <c r="D191" i="1"/>
  <c r="F189" i="1"/>
  <c r="F163" i="1"/>
  <c r="F177" i="1"/>
  <c r="D166" i="1"/>
  <c r="D187" i="1"/>
  <c r="D198" i="1"/>
  <c r="F195" i="1"/>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H44" i="7" l="1"/>
  <c r="H11" i="7"/>
  <c r="P31" i="1"/>
  <c r="F22" i="1"/>
  <c r="B152" i="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<sst xmlns="http://schemas.openxmlformats.org/spreadsheetml/2006/main" count="1735" uniqueCount="575">
  <si>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</si>
  <si>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</si>
  <si>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</si>
  <si>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</si>
  <si>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</si>
  <si>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</si>
  <si>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</si>
  <si>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</si>
  <si>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</si>
  <si>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</si>
  <si>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</si>
  <si>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</si>
  <si>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</si>
  <si>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</si>
  <si>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</si>
  <si>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</si>
  <si>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</si>
  <si>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</si>
  <si>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</si>
  <si>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</si>
  <si>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</si>
  <si>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</si>
  <si>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</si>
  <si>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</si>
  <si>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</si>
  <si>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</si>
  <si>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</si>
  <si>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</si>
  <si>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</si>
  <si>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</si>
  <si>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</si>
  <si>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</si>
  <si>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</si>
  <si>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</si>
  <si>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</si>
  <si>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</si>
  <si>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</si>
  <si>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</si>
  <si>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</si>
  <si>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</si>
  <si>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</si>
  <si>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</si>
  <si>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</si>
  <si>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</si>
  <si>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</si>
  <si>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</si>
  <si>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</si>
  <si>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</si>
  <si>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</si>
  <si>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</si>
  <si>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</si>
  <si>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</si>
  <si>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</si>
  <si>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</si>
  <si>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</si>
  <si>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</si>
  <si>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</si>
  <si>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</si>
  <si>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</si>
  <si>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</si>
  <si>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</si>
  <si>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</si>
  <si>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</si>
  <si>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</si>
  <si>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</si>
  <si>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</si>
  <si>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</si>
  <si>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</si>
  <si>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</si>
  <si>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</si>
  <si>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</si>
  <si>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</si>
  <si>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</si>
  <si>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</si>
  <si>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</si>
  <si>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</si>
  <si>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</si>
  <si>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</si>
  <si>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</si>
  <si>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</si>
  <si>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</si>
  <si>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</si>
  <si>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</si>
  <si>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</si>
  <si>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</si>
  <si>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</si>
  <si>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</si>
  <si>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</si>
  <si>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</si>
  <si>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</si>
  <si>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</si>
  <si>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</si>
  <si>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</si>
  <si>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</si>
  <si>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</si>
  <si>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</si>
  <si>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</si>
  <si>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</si>
  <si>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</si>
  <si>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</si>
  <si>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</si>
  <si>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</si>
  <si>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</si>
  <si>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</si>
  <si>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</si>
  <si>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</si>
  <si>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</si>
  <si>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</si>
  <si>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</si>
  <si>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</si>
  <si>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</si>
  <si>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</si>
  <si>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</si>
  <si>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</si>
  <si>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</si>
  <si>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</si>
  <si>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</si>
  <si>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</si>
  <si>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</si>
  <si>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</si>
  <si>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</si>
  <si>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</si>
  <si>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</si>
  <si>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</si>
  <si>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</si>
  <si>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</si>
  <si>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</si>
  <si>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</si>
  <si>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</si>
  <si>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</si>
  <si>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</si>
  <si>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</si>
  <si>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</si>
  <si>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</si>
  <si>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</si>
  <si>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</si>
  <si>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</si>
  <si>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</si>
  <si>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</si>
  <si>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</si>
  <si>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</si>
  <si>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</si>
  <si>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</si>
  <si>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</si>
  <si>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</si>
  <si>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</si>
  <si>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</si>
  <si>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</si>
  <si>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</si>
  <si>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</si>
  <si>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</si>
  <si>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</si>
  <si>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</si>
  <si>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</si>
  <si>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</si>
  <si>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</si>
  <si>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</si>
  <si>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</si>
  <si>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</si>
  <si>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</si>
  <si>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</si>
  <si>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</si>
  <si>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</si>
  <si>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</si>
  <si>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</si>
  <si>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</si>
  <si>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</si>
  <si>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</si>
  <si>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</si>
  <si>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</si>
  <si>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</si>
  <si>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</si>
  <si>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</si>
  <si>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</si>
  <si>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</si>
  <si>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</si>
  <si>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</si>
  <si>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</si>
  <si>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</si>
  <si>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</si>
  <si>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</si>
  <si>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</si>
  <si>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</si>
  <si>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</si>
  <si>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</si>
  <si>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</si>
  <si>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</si>
  <si>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</si>
  <si>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</si>
  <si>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</si>
  <si>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</si>
  <si>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</si>
  <si>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</si>
  <si>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</si>
  <si>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</si>
  <si>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</si>
  <si>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</si>
  <si>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</si>
  <si>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</si>
  <si>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</si>
  <si>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</si>
  <si>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</si>
  <si>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</si>
  <si>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</si>
  <si>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</si>
  <si>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</si>
  <si>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</si>
  <si>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</si>
  <si>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</si>
  <si>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</si>
  <si>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</si>
  <si>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</si>
  <si>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</si>
  <si>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</si>
  <si>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</si>
  <si>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</si>
  <si>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</si>
  <si>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</si>
  <si>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</si>
  <si>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</si>
  <si>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</si>
  <si>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</si>
  <si>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</si>
  <si>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</si>
  <si>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</si>
  <si>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</si>
  <si>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</si>
  <si>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</si>
  <si>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</si>
  <si>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</si>
  <si>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</si>
  <si>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</si>
  <si>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</si>
  <si>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</si>
  <si>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</si>
  <si>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</si>
  <si>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</si>
  <si>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</si>
  <si>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</si>
  <si>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</si>
  <si>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</si>
  <si>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</si>
  <si>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</si>
  <si>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</si>
  <si>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</si>
  <si>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</si>
  <si>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</si>
  <si>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</si>
  <si>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</si>
  <si>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</si>
  <si>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</si>
  <si>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</si>
  <si>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</si>
  <si>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</si>
  <si>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</si>
  <si>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</si>
  <si>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</si>
  <si>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</si>
  <si>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</si>
  <si>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</si>
  <si>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</si>
  <si>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</si>
  <si>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</si>
  <si>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</si>
  <si>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</si>
  <si>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</si>
  <si>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</si>
  <si>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</si>
  <si>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</si>
  <si>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</si>
  <si>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</si>
  <si>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</si>
  <si>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</si>
  <si>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</si>
  <si>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</si>
  <si>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</si>
  <si>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</si>
  <si>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</si>
  <si>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</si>
  <si>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</si>
  <si>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</si>
  <si>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</si>
  <si>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</si>
  <si>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</si>
  <si>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</si>
  <si>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</si>
  <si>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</si>
  <si>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</si>
  <si>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</si>
  <si>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</si>
  <si>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</si>
  <si>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</si>
  <si>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</si>
  <si>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</si>
  <si>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</si>
  <si>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</si>
  <si>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</si>
  <si>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</si>
  <si>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</si>
  <si>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</si>
  <si>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</si>
  <si>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</si>
  <si>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</si>
  <si>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</si>
  <si>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</si>
  <si>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</si>
  <si>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</si>
  <si>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</si>
  <si>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</si>
  <si>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</si>
  <si>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</si>
  <si>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</si>
  <si>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</si>
  <si>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</si>
  <si>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</si>
  <si>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</si>
  <si>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</si>
  <si>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</si>
  <si>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</si>
  <si>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</si>
  <si>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</si>
  <si>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</si>
  <si>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</si>
  <si>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</si>
  <si>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</si>
  <si>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</si>
  <si>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</si>
  <si>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</si>
  <si>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</si>
  <si>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</si>
  <si>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</si>
  <si>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</si>
  <si>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</si>
  <si>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</si>
  <si>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</si>
  <si>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</si>
  <si>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</si>
  <si>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</si>
  <si>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</si>
  <si>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</si>
  <si>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</si>
  <si>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</si>
  <si>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</si>
  <si>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</si>
  <si>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</si>
  <si>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</si>
  <si>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</si>
  <si>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</si>
  <si>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</si>
  <si>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</si>
  <si>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</si>
  <si>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</si>
  <si>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</si>
  <si>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</si>
  <si>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</si>
  <si>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</si>
  <si>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</si>
  <si>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</si>
  <si>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</si>
  <si>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</si>
  <si>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</si>
  <si>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</si>
  <si>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</si>
  <si>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</si>
  <si>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</si>
  <si>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</si>
  <si>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</si>
  <si>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</si>
  <si>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</si>
  <si>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</si>
  <si>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</si>
  <si>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</si>
  <si>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</si>
  <si>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</si>
  <si>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</si>
  <si>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</si>
  <si>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</si>
  <si>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</si>
  <si>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</si>
  <si>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</si>
  <si>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</si>
  <si>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</si>
  <si>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</si>
  <si>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</si>
  <si>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</si>
  <si>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</si>
  <si>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</si>
  <si>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</si>
  <si>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</si>
  <si>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</si>
  <si>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</si>
  <si>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</si>
  <si>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</si>
  <si>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</si>
  <si>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</si>
  <si>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</si>
  <si>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</si>
  <si>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</si>
  <si>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</si>
  <si>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</si>
  <si>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</si>
  <si>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</si>
  <si>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</si>
  <si>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</si>
  <si>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</si>
  <si>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</si>
  <si>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</si>
  <si>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</si>
  <si>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</si>
  <si>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</si>
  <si>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</si>
  <si>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</si>
  <si>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</si>
  <si>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</si>
  <si>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</si>
  <si>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</si>
  <si>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</si>
  <si>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</si>
  <si>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</si>
  <si>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</si>
  <si>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</si>
  <si>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</si>
  <si>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</si>
  <si>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</si>
  <si>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</si>
  <si>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</si>
  <si>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</si>
  <si>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</si>
  <si>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</si>
  <si>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</si>
  <si>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</si>
  <si>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</si>
  <si>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</si>
  <si>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</si>
  <si>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</si>
  <si>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</si>
  <si>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</si>
  <si>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</si>
  <si>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</si>
  <si>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</si>
  <si>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</si>
  <si>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</si>
  <si>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</si>
  <si>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</si>
  <si>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</si>
  <si>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</si>
  <si>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</si>
  <si>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</si>
  <si>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</si>
  <si>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</si>
  <si>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</si>
  <si>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</si>
  <si>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</si>
  <si>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</si>
  <si>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</si>
  <si>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</si>
  <si>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</si>
  <si>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</si>
  <si>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</si>
  <si>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</si>
  <si>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</si>
  <si>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</si>
  <si>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</si>
  <si>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</si>
  <si>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</si>
  <si>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</si>
  <si>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</si>
  <si>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</si>
  <si>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</si>
  <si>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</si>
  <si>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</si>
  <si>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</si>
  <si>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</si>
  <si>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</si>
  <si>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</si>
  <si>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</si>
  <si>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</si>
  <si>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</si>
  <si>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</si>
  <si>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</si>
  <si>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</si>
  <si>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</si>
  <si>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</si>
  <si>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</si>
  <si>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</si>
  <si>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</si>
  <si>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</si>
  <si>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</si>
  <si>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</si>
  <si>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</si>
  <si>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</si>
  <si>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</si>
  <si>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</si>
  <si>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</si>
  <si>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</si>
  <si>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</si>
  <si>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</si>
  <si>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</si>
  <si>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</si>
  <si>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</si>
  <si>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</si>
  <si>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</si>
  <si>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</si>
  <si>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</si>
  <si>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</si>
  <si>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</si>
  <si>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</si>
  <si>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</si>
  <si>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</si>
  <si>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</si>
  <si>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</si>
  <si>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</si>
  <si>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</si>
  <si>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</si>
  <si>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</si>
  <si>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</si>
  <si>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</si>
  <si>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</si>
  <si>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</si>
  <si>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</si>
  <si>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</si>
  <si>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</si>
  <si>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</si>
  <si>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</si>
  <si>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</si>
  <si>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</si>
  <si>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</si>
  <si>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</si>
  <si>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</si>
  <si>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</si>
  <si>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</si>
  <si>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</si>
  <si>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</si>
  <si>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</si>
  <si>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</si>
  <si>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</si>
  <si>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</si>
  <si>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</si>
  <si>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</si>
  <si>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</si>
  <si>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</si>
  <si>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</si>
  <si>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</si>
  <si>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</si>
  <si>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</si>
  <si>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</si>
  <si>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</si>
  <si>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</si>
  <si>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</si>
  <si>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</si>
  <si>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</si>
  <si>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</si>
  <si>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</si>
  <si>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</si>
  <si>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</si>
  <si>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</si>
  <si>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</si>
  <si>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</si>
  <si>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</si>
  <si>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</si>
  <si>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</si>
  <si>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</si>
  <si>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</si>
  <si>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</si>
  <si>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</si>
  <si>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</si>
  <si>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</si>
  <si>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</si>
  <si>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L'AéroIPSA</t>
  </si>
  <si>
    <t>Conique (droite)</t>
  </si>
  <si>
    <t>Plusieurs diamètres.</t>
  </si>
  <si>
    <t>SP02-Alpha</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</si>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</sst>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42</c:v>
                </c:pt>
                <c:pt idx="4">
                  <c:v>42</c:v>
                </c:pt>
                <c:pt idx="5">
                  <c:v>42</c:v>
                </c:pt>
                <c:pt idx="6">
                  <c:v>42</c:v>
                </c:pt>
                <c:pt idx="7">
                  <c:v>0</c:v>
                </c:pt>
              </c:numCache>
            </c:numRef>
          </c:xVal>
          <c:yVal>
            <c:numRef>
              <c:f>Stabilito!$C$124:$C$131</c:f>
              <c:numCache>
                <c:formatCode>0</c:formatCode>
                <c:ptCount val="8"/>
                <c:pt idx="0">
                  <c:v>-252</c:v>
                </c:pt>
                <c:pt idx="1">
                  <c:v>-252</c:v>
                </c:pt>
                <c:pt idx="2">
                  <c:v>-252</c:v>
                </c:pt>
                <c:pt idx="3">
                  <c:v>-252</c:v>
                </c:pt>
                <c:pt idx="4">
                  <c:v>-252</c:v>
                </c:pt>
                <c:pt idx="5">
                  <c:v>-252</c:v>
                </c:pt>
                <c:pt idx="6">
                  <c:v>-992</c:v>
                </c:pt>
                <c:pt idx="7">
                  <c:v>-992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42</c:v>
                </c:pt>
                <c:pt idx="1">
                  <c:v>149</c:v>
                </c:pt>
                <c:pt idx="2">
                  <c:v>149</c:v>
                </c:pt>
                <c:pt idx="3">
                  <c:v>42</c:v>
                </c:pt>
                <c:pt idx="4">
                  <c:v>42</c:v>
                </c:pt>
              </c:numCache>
            </c:numRef>
          </c:xVal>
          <c:yVal>
            <c:numRef>
              <c:f>Stabilito!$C$132:$C$136</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-42</c:v>
                </c:pt>
                <c:pt idx="4">
                  <c:v>-42</c:v>
                </c:pt>
                <c:pt idx="5">
                  <c:v>-42</c:v>
                </c:pt>
                <c:pt idx="6">
                  <c:v>-42</c:v>
                </c:pt>
                <c:pt idx="7">
                  <c:v>0</c:v>
                </c:pt>
              </c:numCache>
            </c:numRef>
          </c:xVal>
          <c:yVal>
            <c:numRef>
              <c:f>Stabilito!$C$124:$C$131</c:f>
              <c:numCache>
                <c:formatCode>0</c:formatCode>
                <c:ptCount val="8"/>
                <c:pt idx="0">
                  <c:v>-252</c:v>
                </c:pt>
                <c:pt idx="1">
                  <c:v>-252</c:v>
                </c:pt>
                <c:pt idx="2">
                  <c:v>-252</c:v>
                </c:pt>
                <c:pt idx="3">
                  <c:v>-252</c:v>
                </c:pt>
                <c:pt idx="4">
                  <c:v>-252</c:v>
                </c:pt>
                <c:pt idx="5">
                  <c:v>-252</c:v>
                </c:pt>
                <c:pt idx="6">
                  <c:v>-992</c:v>
                </c:pt>
                <c:pt idx="7">
                  <c:v>-992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-42</c:v>
                </c:pt>
                <c:pt idx="1">
                  <c:v>-149</c:v>
                </c:pt>
                <c:pt idx="2">
                  <c:v>-149</c:v>
                </c:pt>
                <c:pt idx="3">
                  <c:v>-42</c:v>
                </c:pt>
                <c:pt idx="4">
                  <c:v>-42</c:v>
                </c:pt>
              </c:numCache>
            </c:numRef>
          </c:xVal>
          <c:yVal>
            <c:numRef>
              <c:f>Stabilito!$C$132:$C$136</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-545.59795737994693</c:v>
                </c:pt>
                <c:pt idx="1">
                  <c:v>-538.43198066659954</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87.372101895940062</c:v>
                </c:pt>
                <c:pt idx="2">
                  <c:v>87.372101895940062</c:v>
                </c:pt>
                <c:pt idx="3">
                  <c:v>0</c:v>
                </c:pt>
              </c:numCache>
            </c:numRef>
          </c:xVal>
          <c:yVal>
            <c:numRef>
              <c:f>Stabilito!$C$151:$C$154</c:f>
              <c:numCache>
                <c:formatCode>0</c:formatCode>
                <c:ptCount val="4"/>
                <c:pt idx="0">
                  <c:v>-769.02762675440692</c:v>
                </c:pt>
                <c:pt idx="1">
                  <c:v>-769.02762675440692</c:v>
                </c:pt>
                <c:pt idx="2">
                  <c:v>-769.02762675440692</c:v>
                </c:pt>
                <c:pt idx="3">
                  <c:v>-769.02762675440692</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330.66666666666669</c:v>
                </c:pt>
                <c:pt idx="1">
                  <c:v>-330.66666666666669</c:v>
                </c:pt>
              </c:numCache>
            </c:numRef>
          </c:xVal>
          <c:yVal>
            <c:numRef>
              <c:f>Stabilito!$C$168:$C$169</c:f>
              <c:numCache>
                <c:formatCode>0</c:formatCode>
                <c:ptCount val="2"/>
                <c:pt idx="0">
                  <c:v>-1001.92</c:v>
                </c:pt>
                <c:pt idx="1">
                  <c:v>-1001.92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-12</c:v>
                </c:pt>
                <c:pt idx="1">
                  <c:v>12</c:v>
                </c:pt>
                <c:pt idx="2">
                  <c:v>12</c:v>
                </c:pt>
                <c:pt idx="3">
                  <c:v>-12</c:v>
                </c:pt>
                <c:pt idx="4">
                  <c:v>-12</c:v>
                </c:pt>
              </c:numCache>
            </c:numRef>
          </c:xVal>
          <c:yVal>
            <c:numRef>
              <c:f>Stabilito!$C$170:$C$174</c:f>
              <c:numCache>
                <c:formatCode>0</c:formatCode>
                <c:ptCount val="5"/>
                <c:pt idx="0">
                  <c:v>-714</c:v>
                </c:pt>
                <c:pt idx="1">
                  <c:v>-714</c:v>
                </c:pt>
                <c:pt idx="2">
                  <c:v>-942</c:v>
                </c:pt>
                <c:pt idx="3">
                  <c:v>-942</c:v>
                </c:pt>
                <c:pt idx="4">
                  <c:v>-714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-149</c:v>
                </c:pt>
                <c:pt idx="1">
                  <c:v>-95.5</c:v>
                </c:pt>
                <c:pt idx="2">
                  <c:v>-42</c:v>
                </c:pt>
              </c:numCache>
            </c:numRef>
          </c:xVal>
          <c:yVal>
            <c:numRef>
              <c:f>Stabilito!$C$137:$C$139</c:f>
              <c:numCache>
                <c:formatCode>0</c:formatCode>
                <c:ptCount val="3"/>
                <c:pt idx="0">
                  <c:v>-1005.0666666666667</c:v>
                </c:pt>
                <c:pt idx="1">
                  <c:v>-1005.0666666666667</c:v>
                </c:pt>
                <c:pt idx="2">
                  <c:v>-1005.0666666666667</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-182.06666666666666</c:v>
                </c:pt>
                <c:pt idx="1">
                  <c:v>-182.06666666666666</c:v>
                </c:pt>
                <c:pt idx="2">
                  <c:v>-182.06666666666666</c:v>
                </c:pt>
              </c:numCache>
            </c:numRef>
          </c:xVal>
          <c:yVal>
            <c:numRef>
              <c:f>Stabilito!$C$143:$C$145</c:f>
              <c:numCache>
                <c:formatCode>0</c:formatCode>
                <c:ptCount val="3"/>
                <c:pt idx="0">
                  <c:v>-772</c:v>
                </c:pt>
                <c:pt idx="1">
                  <c:v>-832</c:v>
                </c:pt>
                <c:pt idx="2">
                  <c:v>-892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-198.6</c:v>
                </c:pt>
                <c:pt idx="1">
                  <c:v>-198.6</c:v>
                </c:pt>
                <c:pt idx="2">
                  <c:v>-198.6</c:v>
                </c:pt>
              </c:numCache>
            </c:numRef>
          </c:xVal>
          <c:yVal>
            <c:numRef>
              <c:f>Stabilito!$C$146:$C$148</c:f>
              <c:numCache>
                <c:formatCode>0</c:formatCode>
                <c:ptCount val="3"/>
                <c:pt idx="0">
                  <c:v>-892</c:v>
                </c:pt>
                <c:pt idx="1">
                  <c:v>-932</c:v>
                </c:pt>
                <c:pt idx="2">
                  <c:v>-972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198.6</c:v>
                </c:pt>
                <c:pt idx="1">
                  <c:v>198.6</c:v>
                </c:pt>
                <c:pt idx="2">
                  <c:v>198.6</c:v>
                </c:pt>
              </c:numCache>
            </c:numRef>
          </c:xVal>
          <c:yVal>
            <c:numRef>
              <c:f>Stabilito!$C$140:$C$142</c:f>
              <c:numCache>
                <c:formatCode>0</c:formatCode>
                <c:ptCount val="3"/>
                <c:pt idx="0">
                  <c:v>-772</c:v>
                </c:pt>
                <c:pt idx="1">
                  <c:v>-857</c:v>
                </c:pt>
                <c:pt idx="2">
                  <c:v>-942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-198.6</c:v>
                </c:pt>
                <c:pt idx="1">
                  <c:v>-198.6</c:v>
                </c:pt>
                <c:pt idx="2">
                  <c:v>-198.6</c:v>
                </c:pt>
              </c:numCache>
            </c:numRef>
          </c:xVal>
          <c:yVal>
            <c:numRef>
              <c:f>Stabilito!$C$155:$C$157</c:f>
              <c:numCache>
                <c:formatCode>0</c:formatCode>
                <c:ptCount val="3"/>
                <c:pt idx="0">
                  <c:v>-542.01496902327324</c:v>
                </c:pt>
                <c:pt idx="1">
                  <c:v>-655.52129788884008</c:v>
                </c:pt>
                <c:pt idx="2">
                  <c:v>-769.02762675440692</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30</c:v>
                </c:pt>
                <c:pt idx="1">
                  <c:v>30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1.5</c:v>
                </c:pt>
                <c:pt idx="1">
                  <c:v>1.5</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60</c:v>
                </c:pt>
                <c:pt idx="1">
                  <c:v>30</c:v>
                </c:pt>
                <c:pt idx="2">
                  <c:v>15</c:v>
                </c:pt>
                <c:pt idx="3">
                  <c:v>10</c:v>
                </c:pt>
                <c:pt idx="4">
                  <c:v>6</c:v>
                </c:pt>
                <c:pt idx="5">
                  <c:v>4.2857142857142856</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1.5</c:v>
                </c:pt>
              </c:numCache>
            </c:numRef>
          </c:xVal>
          <c:yVal>
            <c:numRef>
              <c:f>Stabilito!$C$195:$C$196</c:f>
              <c:numCache>
                <c:formatCode>General</c:formatCode>
                <c:ptCount val="2"/>
                <c:pt idx="0">
                  <c:v>22.5</c:v>
                </c:pt>
                <c:pt idx="1">
                  <c:v>22.5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4.4444444444444446</c:v>
                </c:pt>
                <c:pt idx="1">
                  <c:v>7</c:v>
                </c:pt>
              </c:numCache>
            </c:numRef>
          </c:xVal>
          <c:yVal>
            <c:numRef>
              <c:f>Stabilito!$C$197:$C$198</c:f>
              <c:numCache>
                <c:formatCode>General</c:formatCode>
                <c:ptCount val="2"/>
                <c:pt idx="0">
                  <c:v>22.5</c:v>
                </c:pt>
                <c:pt idx="1">
                  <c:v>22.5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3.75</c:v>
                </c:pt>
                <c:pt idx="1">
                  <c:v>3.75</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3.75</c:v>
                </c:pt>
                <c:pt idx="1">
                  <c:v>3.75</c:v>
                </c:pt>
              </c:numCache>
            </c:numRef>
          </c:xVal>
          <c:yVal>
            <c:numRef>
              <c:f>Stabilito!$C$201:$C$202</c:f>
              <c:numCache>
                <c:formatCode>General</c:formatCode>
                <c:ptCount val="2"/>
                <c:pt idx="0">
                  <c:v>26.666666666666668</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2.6598770163626191</c:v>
                </c:pt>
                <c:pt idx="1">
                  <c:v>2.6598770163626191</c:v>
                </c:pt>
                <c:pt idx="2">
                  <c:v>2.7451862629500878</c:v>
                </c:pt>
                <c:pt idx="3">
                  <c:v>2.7451862629500878</c:v>
                </c:pt>
              </c:numCache>
            </c:numRef>
          </c:xVal>
          <c:yVal>
            <c:numRef>
              <c:f>Stabilito!$C$190:$C$193</c:f>
              <c:numCache>
                <c:formatCode>0.00</c:formatCode>
                <c:ptCount val="4"/>
                <c:pt idx="0">
                  <c:v>15.602161052846441</c:v>
                </c:pt>
                <c:pt idx="1">
                  <c:v>15.602161052846441</c:v>
                </c:pt>
                <c:pt idx="2">
                  <c:v>15.602161052846441</c:v>
                </c:pt>
                <c:pt idx="3">
                  <c:v>15.602161052846441</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2.7451862629500878</c:v>
                </c:pt>
                <c:pt idx="1">
                  <c:v>2.6598770163626191</c:v>
                </c:pt>
              </c:numCache>
            </c:numRef>
          </c:xVal>
          <c:yVal>
            <c:numRef>
              <c:f>Stabilito!$C$193:$C$194</c:f>
              <c:numCache>
                <c:formatCode>0.00</c:formatCode>
                <c:ptCount val="2"/>
                <c:pt idx="0">
                  <c:v>15.602161052846441</c:v>
                </c:pt>
                <c:pt idx="1">
                  <c:v>15.602161052846441</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2.58</c:v>
                </c:pt>
                <c:pt idx="1">
                  <c:v>2.66</c:v>
                </c:pt>
              </c:numCache>
            </c:numRef>
          </c:xVal>
          <c:yVal>
            <c:numRef>
              <c:f>Stabilito!$V$31:$V$32</c:f>
              <c:numCache>
                <c:formatCode>General</c:formatCode>
                <c:ptCount val="2"/>
                <c:pt idx="0">
                  <c:v>15.795999999999999</c:v>
                </c:pt>
                <c:pt idx="1">
                  <c:v>15.795999999999999</c:v>
                </c:pt>
              </c:numCache>
            </c:numRef>
          </c:yVal>
          <c:smooth val="0"/>
          <c:extLst>
            <c:ext xmlns:c16="http://schemas.microsoft.com/office/drawing/2014/chart" uri="{C3380CC4-5D6E-409C-BE32-E72D297353CC}">
              <c16:uniqueId val="{00000002-5321-498C-81FE-E91675A8766E}"/>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1439.2737900663878</c:v>
                </c:pt>
              </c:numCache>
            </c:numRef>
          </c:xVal>
          <c:yVal>
            <c:numRef>
              <c:f>Trajecto!$C$121</c:f>
              <c:numCache>
                <c:formatCode>0</c:formatCode>
                <c:ptCount val="1"/>
                <c:pt idx="0">
                  <c:v>1439.2737900663878</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147.47598772237959</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191.95876181812105</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232.38346720717126</c:v>
                </c:pt>
                <c:pt idx="205">
                  <c:v>#N/A</c:v>
                </c:pt>
                <c:pt idx="206">
                  <c:v>#N/A</c:v>
                </c:pt>
                <c:pt idx="207">
                  <c:v>#N/A</c:v>
                </c:pt>
                <c:pt idx="208">
                  <c:v>#N/A</c:v>
                </c:pt>
                <c:pt idx="209">
                  <c:v>#N/A</c:v>
                </c:pt>
                <c:pt idx="210">
                  <c:v>#N/A</c:v>
                </c:pt>
                <c:pt idx="211">
                  <c:v>#N/A</c:v>
                </c:pt>
                <c:pt idx="212">
                  <c:v>#N/A</c:v>
                </c:pt>
                <c:pt idx="213">
                  <c:v>#N/A</c:v>
                </c:pt>
                <c:pt idx="214">
                  <c:v>268.86691015885071</c:v>
                </c:pt>
                <c:pt idx="215">
                  <c:v>#N/A</c:v>
                </c:pt>
                <c:pt idx="216">
                  <c:v>#N/A</c:v>
                </c:pt>
                <c:pt idx="217">
                  <c:v>#N/A</c:v>
                </c:pt>
                <c:pt idx="218">
                  <c:v>#N/A</c:v>
                </c:pt>
                <c:pt idx="219">
                  <c:v>#N/A</c:v>
                </c:pt>
                <c:pt idx="220">
                  <c:v>#N/A</c:v>
                </c:pt>
                <c:pt idx="221">
                  <c:v>#N/A</c:v>
                </c:pt>
                <c:pt idx="222">
                  <c:v>#N/A</c:v>
                </c:pt>
                <c:pt idx="223">
                  <c:v>#N/A</c:v>
                </c:pt>
                <c:pt idx="224">
                  <c:v>302.36033485401629</c:v>
                </c:pt>
                <c:pt idx="225">
                  <c:v>#N/A</c:v>
                </c:pt>
                <c:pt idx="226">
                  <c:v>#N/A</c:v>
                </c:pt>
                <c:pt idx="227">
                  <c:v>#N/A</c:v>
                </c:pt>
                <c:pt idx="228">
                  <c:v>#N/A</c:v>
                </c:pt>
                <c:pt idx="229">
                  <c:v>#N/A</c:v>
                </c:pt>
                <c:pt idx="230">
                  <c:v>#N/A</c:v>
                </c:pt>
                <c:pt idx="231">
                  <c:v>#N/A</c:v>
                </c:pt>
                <c:pt idx="232">
                  <c:v>#N/A</c:v>
                </c:pt>
                <c:pt idx="233">
                  <c:v>#N/A</c:v>
                </c:pt>
                <c:pt idx="234">
                  <c:v>333.54610105608856</c:v>
                </c:pt>
                <c:pt idx="235">
                  <c:v>#N/A</c:v>
                </c:pt>
                <c:pt idx="236">
                  <c:v>#N/A</c:v>
                </c:pt>
                <c:pt idx="237">
                  <c:v>#N/A</c:v>
                </c:pt>
                <c:pt idx="238">
                  <c:v>#N/A</c:v>
                </c:pt>
                <c:pt idx="239">
                  <c:v>#N/A</c:v>
                </c:pt>
                <c:pt idx="240">
                  <c:v>#N/A</c:v>
                </c:pt>
                <c:pt idx="241">
                  <c:v>#N/A</c:v>
                </c:pt>
                <c:pt idx="242">
                  <c:v>#N/A</c:v>
                </c:pt>
                <c:pt idx="243">
                  <c:v>#N/A</c:v>
                </c:pt>
                <c:pt idx="244">
                  <c:v>362.92833146654601</c:v>
                </c:pt>
                <c:pt idx="245">
                  <c:v>#N/A</c:v>
                </c:pt>
                <c:pt idx="246">
                  <c:v>#N/A</c:v>
                </c:pt>
                <c:pt idx="247">
                  <c:v>#N/A</c:v>
                </c:pt>
                <c:pt idx="248">
                  <c:v>#N/A</c:v>
                </c:pt>
                <c:pt idx="249">
                  <c:v>#N/A</c:v>
                </c:pt>
                <c:pt idx="250">
                  <c:v>#N/A</c:v>
                </c:pt>
                <c:pt idx="251">
                  <c:v>#N/A</c:v>
                </c:pt>
                <c:pt idx="252">
                  <c:v>#N/A</c:v>
                </c:pt>
                <c:pt idx="253">
                  <c:v>#N/A</c:v>
                </c:pt>
                <c:pt idx="254">
                  <c:v>390.8926194563025</c:v>
                </c:pt>
                <c:pt idx="255">
                  <c:v>#N/A</c:v>
                </c:pt>
                <c:pt idx="256">
                  <c:v>#N/A</c:v>
                </c:pt>
                <c:pt idx="257">
                  <c:v>#N/A</c:v>
                </c:pt>
                <c:pt idx="258">
                  <c:v>#N/A</c:v>
                </c:pt>
                <c:pt idx="259">
                  <c:v>#N/A</c:v>
                </c:pt>
                <c:pt idx="260">
                  <c:v>#N/A</c:v>
                </c:pt>
                <c:pt idx="261">
                  <c:v>#N/A</c:v>
                </c:pt>
                <c:pt idx="262">
                  <c:v>#N/A</c:v>
                </c:pt>
                <c:pt idx="263">
                  <c:v>#N/A</c:v>
                </c:pt>
                <c:pt idx="264">
                  <c:v>417.74187810351981</c:v>
                </c:pt>
                <c:pt idx="265">
                  <c:v>#N/A</c:v>
                </c:pt>
                <c:pt idx="266">
                  <c:v>#N/A</c:v>
                </c:pt>
                <c:pt idx="267">
                  <c:v>#N/A</c:v>
                </c:pt>
                <c:pt idx="268">
                  <c:v>#N/A</c:v>
                </c:pt>
                <c:pt idx="269">
                  <c:v>#N/A</c:v>
                </c:pt>
                <c:pt idx="270">
                  <c:v>#N/A</c:v>
                </c:pt>
                <c:pt idx="271">
                  <c:v>#N/A</c:v>
                </c:pt>
                <c:pt idx="272">
                  <c:v>#N/A</c:v>
                </c:pt>
                <c:pt idx="273">
                  <c:v>#N/A</c:v>
                </c:pt>
                <c:pt idx="274">
                  <c:v>443.71776814654748</c:v>
                </c:pt>
                <c:pt idx="275">
                  <c:v>#N/A</c:v>
                </c:pt>
                <c:pt idx="276">
                  <c:v>#N/A</c:v>
                </c:pt>
                <c:pt idx="277">
                  <c:v>#N/A</c:v>
                </c:pt>
                <c:pt idx="278">
                  <c:v>#N/A</c:v>
                </c:pt>
                <c:pt idx="279">
                  <c:v>#N/A</c:v>
                </c:pt>
                <c:pt idx="280">
                  <c:v>#N/A</c:v>
                </c:pt>
                <c:pt idx="281">
                  <c:v>#N/A</c:v>
                </c:pt>
                <c:pt idx="282">
                  <c:v>#N/A</c:v>
                </c:pt>
                <c:pt idx="283">
                  <c:v>#N/A</c:v>
                </c:pt>
                <c:pt idx="284">
                  <c:v>469.01171369249482</c:v>
                </c:pt>
                <c:pt idx="285">
                  <c:v>#N/A</c:v>
                </c:pt>
                <c:pt idx="286">
                  <c:v>#N/A</c:v>
                </c:pt>
                <c:pt idx="287">
                  <c:v>#N/A</c:v>
                </c:pt>
                <c:pt idx="288">
                  <c:v>#N/A</c:v>
                </c:pt>
                <c:pt idx="289">
                  <c:v>#N/A</c:v>
                </c:pt>
                <c:pt idx="290">
                  <c:v>#N/A</c:v>
                </c:pt>
                <c:pt idx="291">
                  <c:v>#N/A</c:v>
                </c:pt>
                <c:pt idx="292">
                  <c:v>#N/A</c:v>
                </c:pt>
                <c:pt idx="293">
                  <c:v>#N/A</c:v>
                </c:pt>
                <c:pt idx="294">
                  <c:v>493.76614385238219</c:v>
                </c:pt>
                <c:pt idx="295">
                  <c:v>#N/A</c:v>
                </c:pt>
                <c:pt idx="296">
                  <c:v>#N/A</c:v>
                </c:pt>
                <c:pt idx="297">
                  <c:v>#N/A</c:v>
                </c:pt>
                <c:pt idx="298">
                  <c:v>#N/A</c:v>
                </c:pt>
                <c:pt idx="299">
                  <c:v>#N/A</c:v>
                </c:pt>
                <c:pt idx="300">
                  <c:v>#N/A</c:v>
                </c:pt>
                <c:pt idx="301">
                  <c:v>#N/A</c:v>
                </c:pt>
                <c:pt idx="302">
                  <c:v>#N/A</c:v>
                </c:pt>
                <c:pt idx="303">
                  <c:v>#N/A</c:v>
                </c:pt>
                <c:pt idx="304">
                  <c:v>518.06607078330262</c:v>
                </c:pt>
                <c:pt idx="305">
                  <c:v>#N/A</c:v>
                </c:pt>
                <c:pt idx="306">
                  <c:v>#N/A</c:v>
                </c:pt>
                <c:pt idx="307">
                  <c:v>#N/A</c:v>
                </c:pt>
                <c:pt idx="308">
                  <c:v>#N/A</c:v>
                </c:pt>
                <c:pt idx="309">
                  <c:v>#N/A</c:v>
                </c:pt>
                <c:pt idx="310">
                  <c:v>#N/A</c:v>
                </c:pt>
                <c:pt idx="311">
                  <c:v>#N/A</c:v>
                </c:pt>
                <c:pt idx="312">
                  <c:v>#N/A</c:v>
                </c:pt>
                <c:pt idx="313">
                  <c:v>#N/A</c:v>
                </c:pt>
                <c:pt idx="314">
                  <c:v>541.92914537233764</c:v>
                </c:pt>
                <c:pt idx="315">
                  <c:v>#N/A</c:v>
                </c:pt>
                <c:pt idx="316">
                  <c:v>#N/A</c:v>
                </c:pt>
                <c:pt idx="317">
                  <c:v>#N/A</c:v>
                </c:pt>
                <c:pt idx="318">
                  <c:v>#N/A</c:v>
                </c:pt>
                <c:pt idx="319">
                  <c:v>#N/A</c:v>
                </c:pt>
                <c:pt idx="320">
                  <c:v>#N/A</c:v>
                </c:pt>
                <c:pt idx="321">
                  <c:v>#N/A</c:v>
                </c:pt>
                <c:pt idx="322">
                  <c:v>#N/A</c:v>
                </c:pt>
                <c:pt idx="323">
                  <c:v>#N/A</c:v>
                </c:pt>
                <c:pt idx="324">
                  <c:v>565.31181290034476</c:v>
                </c:pt>
                <c:pt idx="325">
                  <c:v>#N/A</c:v>
                </c:pt>
                <c:pt idx="326">
                  <c:v>#N/A</c:v>
                </c:pt>
                <c:pt idx="327">
                  <c:v>#N/A</c:v>
                </c:pt>
                <c:pt idx="328">
                  <c:v>#N/A</c:v>
                </c:pt>
                <c:pt idx="329">
                  <c:v>#N/A</c:v>
                </c:pt>
                <c:pt idx="330">
                  <c:v>#N/A</c:v>
                </c:pt>
                <c:pt idx="331">
                  <c:v>#N/A</c:v>
                </c:pt>
                <c:pt idx="332">
                  <c:v>#N/A</c:v>
                </c:pt>
                <c:pt idx="333">
                  <c:v>#N/A</c:v>
                </c:pt>
                <c:pt idx="334">
                  <c:v>588.13275980569688</c:v>
                </c:pt>
                <c:pt idx="335">
                  <c:v>#N/A</c:v>
                </c:pt>
                <c:pt idx="336">
                  <c:v>#N/A</c:v>
                </c:pt>
                <c:pt idx="337">
                  <c:v>#N/A</c:v>
                </c:pt>
                <c:pt idx="338">
                  <c:v>#N/A</c:v>
                </c:pt>
                <c:pt idx="339">
                  <c:v>#N/A</c:v>
                </c:pt>
                <c:pt idx="340">
                  <c:v>#N/A</c:v>
                </c:pt>
                <c:pt idx="341">
                  <c:v>#N/A</c:v>
                </c:pt>
                <c:pt idx="342">
                  <c:v>#N/A</c:v>
                </c:pt>
                <c:pt idx="343">
                  <c:v>#N/A</c:v>
                </c:pt>
                <c:pt idx="344">
                  <c:v>610.29640715566859</c:v>
                </c:pt>
                <c:pt idx="345">
                  <c:v>#N/A</c:v>
                </c:pt>
                <c:pt idx="346">
                  <c:v>#N/A</c:v>
                </c:pt>
                <c:pt idx="347">
                  <c:v>#N/A</c:v>
                </c:pt>
                <c:pt idx="348">
                  <c:v>#N/A</c:v>
                </c:pt>
                <c:pt idx="349">
                  <c:v>#N/A</c:v>
                </c:pt>
                <c:pt idx="350">
                  <c:v>#N/A</c:v>
                </c:pt>
                <c:pt idx="351">
                  <c:v>#N/A</c:v>
                </c:pt>
                <c:pt idx="352">
                  <c:v>#N/A</c:v>
                </c:pt>
                <c:pt idx="353">
                  <c:v>#N/A</c:v>
                </c:pt>
                <c:pt idx="354">
                  <c:v>631.70818864684713</c:v>
                </c:pt>
                <c:pt idx="355">
                  <c:v>#N/A</c:v>
                </c:pt>
                <c:pt idx="356">
                  <c:v>#N/A</c:v>
                </c:pt>
                <c:pt idx="357">
                  <c:v>#N/A</c:v>
                </c:pt>
                <c:pt idx="358">
                  <c:v>#N/A</c:v>
                </c:pt>
                <c:pt idx="359">
                  <c:v>#N/A</c:v>
                </c:pt>
                <c:pt idx="360">
                  <c:v>#N/A</c:v>
                </c:pt>
                <c:pt idx="361">
                  <c:v>#N/A</c:v>
                </c:pt>
                <c:pt idx="362">
                  <c:v>#N/A</c:v>
                </c:pt>
                <c:pt idx="363">
                  <c:v>#N/A</c:v>
                </c:pt>
                <c:pt idx="364">
                  <c:v>652.28319813898167</c:v>
                </c:pt>
                <c:pt idx="365">
                  <c:v>#N/A</c:v>
                </c:pt>
                <c:pt idx="366">
                  <c:v>#N/A</c:v>
                </c:pt>
                <c:pt idx="367">
                  <c:v>#N/A</c:v>
                </c:pt>
                <c:pt idx="368">
                  <c:v>#N/A</c:v>
                </c:pt>
                <c:pt idx="369">
                  <c:v>#N/A</c:v>
                </c:pt>
                <c:pt idx="370">
                  <c:v>#N/A</c:v>
                </c:pt>
                <c:pt idx="371">
                  <c:v>#N/A</c:v>
                </c:pt>
                <c:pt idx="372">
                  <c:v>#N/A</c:v>
                </c:pt>
                <c:pt idx="373">
                  <c:v>#N/A</c:v>
                </c:pt>
                <c:pt idx="374">
                  <c:v>671.95083048401</c:v>
                </c:pt>
                <c:pt idx="375">
                  <c:v>#N/A</c:v>
                </c:pt>
                <c:pt idx="376">
                  <c:v>#N/A</c:v>
                </c:pt>
                <c:pt idx="377">
                  <c:v>#N/A</c:v>
                </c:pt>
                <c:pt idx="378">
                  <c:v>#N/A</c:v>
                </c:pt>
                <c:pt idx="379">
                  <c:v>#N/A</c:v>
                </c:pt>
                <c:pt idx="380">
                  <c:v>#N/A</c:v>
                </c:pt>
                <c:pt idx="381">
                  <c:v>#N/A</c:v>
                </c:pt>
                <c:pt idx="382">
                  <c:v>#N/A</c:v>
                </c:pt>
                <c:pt idx="383">
                  <c:v>#N/A</c:v>
                </c:pt>
                <c:pt idx="384">
                  <c:v>690.65695887893366</c:v>
                </c:pt>
                <c:pt idx="385">
                  <c:v>#N/A</c:v>
                </c:pt>
                <c:pt idx="386">
                  <c:v>#N/A</c:v>
                </c:pt>
                <c:pt idx="387">
                  <c:v>#N/A</c:v>
                </c:pt>
                <c:pt idx="388">
                  <c:v>#N/A</c:v>
                </c:pt>
                <c:pt idx="389">
                  <c:v>#N/A</c:v>
                </c:pt>
                <c:pt idx="390">
                  <c:v>#N/A</c:v>
                </c:pt>
                <c:pt idx="391">
                  <c:v>#N/A</c:v>
                </c:pt>
                <c:pt idx="392">
                  <c:v>#N/A</c:v>
                </c:pt>
                <c:pt idx="393">
                  <c:v>#N/A</c:v>
                </c:pt>
                <c:pt idx="394">
                  <c:v>708.36448405089891</c:v>
                </c:pt>
                <c:pt idx="395">
                  <c:v>#N/A</c:v>
                </c:pt>
                <c:pt idx="396">
                  <c:v>#N/A</c:v>
                </c:pt>
                <c:pt idx="397">
                  <c:v>#N/A</c:v>
                </c:pt>
                <c:pt idx="398">
                  <c:v>#N/A</c:v>
                </c:pt>
                <c:pt idx="399">
                  <c:v>#N/A</c:v>
                </c:pt>
                <c:pt idx="400">
                  <c:v>#N/A</c:v>
                </c:pt>
                <c:pt idx="401">
                  <c:v>#N/A</c:v>
                </c:pt>
                <c:pt idx="402">
                  <c:v>#N/A</c:v>
                </c:pt>
                <c:pt idx="403">
                  <c:v>#N/A</c:v>
                </c:pt>
                <c:pt idx="404">
                  <c:v>725.05276822357314</c:v>
                </c:pt>
                <c:pt idx="405">
                  <c:v>#N/A</c:v>
                </c:pt>
                <c:pt idx="406">
                  <c:v>#N/A</c:v>
                </c:pt>
                <c:pt idx="407">
                  <c:v>#N/A</c:v>
                </c:pt>
                <c:pt idx="408">
                  <c:v>#N/A</c:v>
                </c:pt>
                <c:pt idx="409">
                  <c:v>#N/A</c:v>
                </c:pt>
                <c:pt idx="410">
                  <c:v>#N/A</c:v>
                </c:pt>
                <c:pt idx="411">
                  <c:v>#N/A</c:v>
                </c:pt>
                <c:pt idx="412">
                  <c:v>#N/A</c:v>
                </c:pt>
                <c:pt idx="413">
                  <c:v>#N/A</c:v>
                </c:pt>
                <c:pt idx="414">
                  <c:v>740.71632006253662</c:v>
                </c:pt>
                <c:pt idx="415">
                  <c:v>#N/A</c:v>
                </c:pt>
                <c:pt idx="416">
                  <c:v>#N/A</c:v>
                </c:pt>
                <c:pt idx="417">
                  <c:v>#N/A</c:v>
                </c:pt>
                <c:pt idx="418">
                  <c:v>#N/A</c:v>
                </c:pt>
                <c:pt idx="419">
                  <c:v>#N/A</c:v>
                </c:pt>
                <c:pt idx="420">
                  <c:v>#N/A</c:v>
                </c:pt>
                <c:pt idx="421">
                  <c:v>#N/A</c:v>
                </c:pt>
                <c:pt idx="422">
                  <c:v>#N/A</c:v>
                </c:pt>
                <c:pt idx="423">
                  <c:v>#N/A</c:v>
                </c:pt>
                <c:pt idx="424">
                  <c:v>755.36301579777671</c:v>
                </c:pt>
                <c:pt idx="425">
                  <c:v>#N/A</c:v>
                </c:pt>
                <c:pt idx="426">
                  <c:v>#N/A</c:v>
                </c:pt>
                <c:pt idx="427">
                  <c:v>#N/A</c:v>
                </c:pt>
                <c:pt idx="428">
                  <c:v>#N/A</c:v>
                </c:pt>
                <c:pt idx="429">
                  <c:v>#N/A</c:v>
                </c:pt>
                <c:pt idx="430">
                  <c:v>#N/A</c:v>
                </c:pt>
                <c:pt idx="431">
                  <c:v>#N/A</c:v>
                </c:pt>
                <c:pt idx="432">
                  <c:v>#N/A</c:v>
                </c:pt>
                <c:pt idx="433">
                  <c:v>#N/A</c:v>
                </c:pt>
                <c:pt idx="434">
                  <c:v>769.01208275181318</c:v>
                </c:pt>
                <c:pt idx="435">
                  <c:v>#N/A</c:v>
                </c:pt>
                <c:pt idx="436">
                  <c:v>#N/A</c:v>
                </c:pt>
                <c:pt idx="437">
                  <c:v>#N/A</c:v>
                </c:pt>
                <c:pt idx="438">
                  <c:v>#N/A</c:v>
                </c:pt>
                <c:pt idx="439">
                  <c:v>#N/A</c:v>
                </c:pt>
                <c:pt idx="440">
                  <c:v>#N/A</c:v>
                </c:pt>
                <c:pt idx="441">
                  <c:v>#N/A</c:v>
                </c:pt>
                <c:pt idx="442">
                  <c:v>#N/A</c:v>
                </c:pt>
                <c:pt idx="443">
                  <c:v>#N/A</c:v>
                </c:pt>
                <c:pt idx="444">
                  <c:v>781.69202013028098</c:v>
                </c:pt>
                <c:pt idx="445">
                  <c:v>#N/A</c:v>
                </c:pt>
                <c:pt idx="446">
                  <c:v>#N/A</c:v>
                </c:pt>
                <c:pt idx="447">
                  <c:v>#N/A</c:v>
                </c:pt>
                <c:pt idx="448">
                  <c:v>#N/A</c:v>
                </c:pt>
                <c:pt idx="449">
                  <c:v>#N/A</c:v>
                </c:pt>
                <c:pt idx="450">
                  <c:v>#N/A</c:v>
                </c:pt>
                <c:pt idx="451">
                  <c:v>#N/A</c:v>
                </c:pt>
                <c:pt idx="452">
                  <c:v>#N/A</c:v>
                </c:pt>
                <c:pt idx="453">
                  <c:v>#N/A</c:v>
                </c:pt>
                <c:pt idx="454">
                  <c:v>793.43858517695492</c:v>
                </c:pt>
                <c:pt idx="455">
                  <c:v>#N/A</c:v>
                </c:pt>
                <c:pt idx="456">
                  <c:v>#N/A</c:v>
                </c:pt>
                <c:pt idx="457">
                  <c:v>#N/A</c:v>
                </c:pt>
                <c:pt idx="458">
                  <c:v>#N/A</c:v>
                </c:pt>
                <c:pt idx="459">
                  <c:v>#N/A</c:v>
                </c:pt>
                <c:pt idx="460">
                  <c:v>#N/A</c:v>
                </c:pt>
                <c:pt idx="461">
                  <c:v>#N/A</c:v>
                </c:pt>
                <c:pt idx="462">
                  <c:v>#N/A</c:v>
                </c:pt>
                <c:pt idx="463">
                  <c:v>#N/A</c:v>
                </c:pt>
                <c:pt idx="464">
                  <c:v>804.29293138136916</c:v>
                </c:pt>
                <c:pt idx="465">
                  <c:v>#N/A</c:v>
                </c:pt>
                <c:pt idx="466">
                  <c:v>#N/A</c:v>
                </c:pt>
                <c:pt idx="467">
                  <c:v>#N/A</c:v>
                </c:pt>
                <c:pt idx="468">
                  <c:v>#N/A</c:v>
                </c:pt>
                <c:pt idx="469">
                  <c:v>#N/A</c:v>
                </c:pt>
                <c:pt idx="470">
                  <c:v>#N/A</c:v>
                </c:pt>
                <c:pt idx="471">
                  <c:v>#N/A</c:v>
                </c:pt>
                <c:pt idx="472">
                  <c:v>#N/A</c:v>
                </c:pt>
                <c:pt idx="473">
                  <c:v>#N/A</c:v>
                </c:pt>
                <c:pt idx="474">
                  <c:v>814.29995060298643</c:v>
                </c:pt>
                <c:pt idx="475">
                  <c:v>#N/A</c:v>
                </c:pt>
                <c:pt idx="476">
                  <c:v>#N/A</c:v>
                </c:pt>
                <c:pt idx="477">
                  <c:v>#N/A</c:v>
                </c:pt>
                <c:pt idx="478">
                  <c:v>#N/A</c:v>
                </c:pt>
                <c:pt idx="479">
                  <c:v>#N/A</c:v>
                </c:pt>
                <c:pt idx="480">
                  <c:v>#N/A</c:v>
                </c:pt>
                <c:pt idx="481">
                  <c:v>#N/A</c:v>
                </c:pt>
                <c:pt idx="482">
                  <c:v>#N/A</c:v>
                </c:pt>
                <c:pt idx="483">
                  <c:v>#N/A</c:v>
                </c:pt>
                <c:pt idx="484">
                  <c:v>823.50684339928705</c:v>
                </c:pt>
                <c:pt idx="485">
                  <c:v>#N/A</c:v>
                </c:pt>
                <c:pt idx="486">
                  <c:v>#N/A</c:v>
                </c:pt>
                <c:pt idx="487">
                  <c:v>#N/A</c:v>
                </c:pt>
                <c:pt idx="488">
                  <c:v>#N/A</c:v>
                </c:pt>
                <c:pt idx="489">
                  <c:v>#N/A</c:v>
                </c:pt>
                <c:pt idx="490">
                  <c:v>#N/A</c:v>
                </c:pt>
                <c:pt idx="491">
                  <c:v>#N/A</c:v>
                </c:pt>
                <c:pt idx="492">
                  <c:v>#N/A</c:v>
                </c:pt>
                <c:pt idx="493">
                  <c:v>#N/A</c:v>
                </c:pt>
                <c:pt idx="494">
                  <c:v>831.96192139062953</c:v>
                </c:pt>
                <c:pt idx="495">
                  <c:v>#N/A</c:v>
                </c:pt>
                <c:pt idx="496">
                  <c:v>#N/A</c:v>
                </c:pt>
                <c:pt idx="497">
                  <c:v>#N/A</c:v>
                </c:pt>
                <c:pt idx="498">
                  <c:v>#N/A</c:v>
                </c:pt>
                <c:pt idx="499">
                  <c:v>#N/A</c:v>
                </c:pt>
                <c:pt idx="500">
                  <c:v>#N/A</c:v>
                </c:pt>
                <c:pt idx="501">
                  <c:v>#N/A</c:v>
                </c:pt>
                <c:pt idx="502">
                  <c:v>#N/A</c:v>
                </c:pt>
                <c:pt idx="503">
                  <c:v>#N/A</c:v>
                </c:pt>
                <c:pt idx="504">
                  <c:v>839.7136314269211</c:v>
                </c:pt>
                <c:pt idx="505">
                  <c:v>839.7136314269211</c:v>
                </c:pt>
                <c:pt idx="506">
                  <c:v>839.7136314269211</c:v>
                </c:pt>
                <c:pt idx="507">
                  <c:v>839.7136314269211</c:v>
                </c:pt>
                <c:pt idx="508">
                  <c:v>839.7136314269211</c:v>
                </c:pt>
                <c:pt idx="509">
                  <c:v>839.7136314269211</c:v>
                </c:pt>
                <c:pt idx="510">
                  <c:v>839.7136314269211</c:v>
                </c:pt>
                <c:pt idx="511">
                  <c:v>839.7136314269211</c:v>
                </c:pt>
                <c:pt idx="512">
                  <c:v>839.7136314269211</c:v>
                </c:pt>
                <c:pt idx="513">
                  <c:v>839.7136314269211</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1439.2960512198395</c:v>
                </c:pt>
                <c:pt idx="300">
                  <c:v>1439.220172805746</c:v>
                </c:pt>
                <c:pt idx="301">
                  <c:v>1439.0463287411173</c:v>
                </c:pt>
                <c:pt idx="302">
                  <c:v>1438.7746926797149</c:v>
                </c:pt>
                <c:pt idx="303">
                  <c:v>1438.405438861068</c:v>
                </c:pt>
                <c:pt idx="304">
                  <c:v>1437.9387429409912</c:v>
                </c:pt>
                <c:pt idx="305">
                  <c:v>1437.3747827973571</c:v>
                </c:pt>
                <c:pt idx="306">
                  <c:v>1436.7137393054052</c:v>
                </c:pt>
                <c:pt idx="307">
                  <c:v>1435.9557970775634</c:v>
                </c:pt>
                <c:pt idx="308">
                  <c:v>1435.1011451635734</c:v>
                </c:pt>
                <c:pt idx="309">
                  <c:v>1434.1499777075967</c:v>
                </c:pt>
                <c:pt idx="310">
                  <c:v>1433.1024945598904</c:v>
                </c:pt>
                <c:pt idx="311">
                  <c:v>1431.9589018415259</c:v>
                </c:pt>
                <c:pt idx="312">
                  <c:v>1430.7194124614621</c:v>
                </c:pt>
                <c:pt idx="313">
                  <c:v>1429.3842465860262</c:v>
                </c:pt>
                <c:pt idx="314">
                  <c:v>1427.9536320615039</c:v>
                </c:pt>
                <c:pt idx="315">
                  <c:v>1426.4278047910741</c:v>
                </c:pt>
                <c:pt idx="316">
                  <c:v>1424.8070090677443</c:v>
                </c:pt>
                <c:pt idx="317">
                  <c:v>1423.0914978652615</c:v>
                </c:pt>
                <c:pt idx="318">
                  <c:v>1421.2815330891883</c:v>
                </c:pt>
                <c:pt idx="319">
                  <c:v>1419.3773857904673</c:v>
                </c:pt>
                <c:pt idx="320">
                  <c:v>1417.3793363438613</c:v>
                </c:pt>
                <c:pt idx="321">
                  <c:v>1415.2876745936546</c:v>
                </c:pt>
                <c:pt idx="322">
                  <c:v>1413.1026999689614</c:v>
                </c:pt>
                <c:pt idx="323">
                  <c:v>1410.8247215709057</c:v>
                </c:pt>
                <c:pt idx="324">
                  <c:v>1408.45405823384</c:v>
                </c:pt>
                <c:pt idx="325">
                  <c:v>1405.9910385626465</c:v>
                </c:pt>
                <c:pt idx="326">
                  <c:v>1403.436000948042</c:v>
                </c:pt>
                <c:pt idx="327">
                  <c:v>1400.789293561673</c:v>
                </c:pt>
                <c:pt idx="328">
                  <c:v>1398.0512743326606</c:v>
                </c:pt>
                <c:pt idx="329">
                  <c:v>1395.222310907121</c:v>
                </c:pt>
                <c:pt idx="330">
                  <c:v>1392.3027805920738</c:v>
                </c:pt>
                <c:pt idx="331">
                  <c:v>1389.2930702850265</c:v>
                </c:pt>
                <c:pt idx="332">
                  <c:v>1386.1935763904235</c:v>
                </c:pt>
                <c:pt idx="333">
                  <c:v>1383.0047047240421</c:v>
                </c:pt>
                <c:pt idx="334">
                  <c:v>1379.7268704063308</c:v>
                </c:pt>
                <c:pt idx="335">
                  <c:v>1376.3604977455996</c:v>
                </c:pt>
                <c:pt idx="336">
                  <c:v>1372.9060201118973</c:v>
                </c:pt>
                <c:pt idx="337">
                  <c:v>1369.3638798023426</c:v>
                </c:pt>
                <c:pt idx="338">
                  <c:v>1365.7345278986102</c:v>
                </c:pt>
                <c:pt idx="339">
                  <c:v>1362.0184241172233</c:v>
                </c:pt>
                <c:pt idx="340">
                  <c:v>1358.2160366532491</c:v>
                </c:pt>
                <c:pt idx="341">
                  <c:v>1354.3278420179506</c:v>
                </c:pt>
                <c:pt idx="342">
                  <c:v>1350.3543248709061</c:v>
                </c:pt>
                <c:pt idx="343">
                  <c:v>1346.2959778470768</c:v>
                </c:pt>
                <c:pt idx="344">
                  <c:v>1342.1533013792621</c:v>
                </c:pt>
                <c:pt idx="345">
                  <c:v>1337.9268035163607</c:v>
                </c:pt>
                <c:pt idx="346">
                  <c:v>1333.6169997378242</c:v>
                </c:pt>
                <c:pt idx="347">
                  <c:v>1329.2244127646698</c:v>
                </c:pt>
                <c:pt idx="348">
                  <c:v>1324.7495723673933</c:v>
                </c:pt>
                <c:pt idx="349">
                  <c:v>1320.1930151711113</c:v>
                </c:pt>
                <c:pt idx="350">
                  <c:v>1315.5552844582342</c:v>
                </c:pt>
                <c:pt idx="351">
                  <c:v>1310.836929968965</c:v>
                </c:pt>
                <c:pt idx="352">
                  <c:v>1306.0385076998984</c:v>
                </c:pt>
                <c:pt idx="353">
                  <c:v>1301.1605797009843</c:v>
                </c:pt>
                <c:pt idx="354">
                  <c:v>1296.2037138711066</c:v>
                </c:pt>
                <c:pt idx="355">
                  <c:v>1291.1684837525172</c:v>
                </c:pt>
                <c:pt idx="356">
                  <c:v>1286.0554683243527</c:v>
                </c:pt>
                <c:pt idx="357">
                  <c:v>1280.8652517954565</c:v>
                </c:pt>
                <c:pt idx="358">
                  <c:v>1275.5984233967142</c:v>
                </c:pt>
                <c:pt idx="359">
                  <c:v>1270.2555771731047</c:v>
                </c:pt>
                <c:pt idx="360">
                  <c:v>1264.8373117756607</c:v>
                </c:pt>
                <c:pt idx="361">
                  <c:v>1259.3442302535261</c:v>
                </c:pt>
                <c:pt idx="362">
                  <c:v>1253.7769398462867</c:v>
                </c:pt>
                <c:pt idx="363">
                  <c:v>1248.1360517767473</c:v>
                </c:pt>
                <c:pt idx="364">
                  <c:v>1242.422181044321</c:v>
                </c:pt>
                <c:pt idx="365">
                  <c:v>1236.6359462191879</c:v>
                </c:pt>
                <c:pt idx="366">
                  <c:v>1230.7779692373767</c:v>
                </c:pt>
                <c:pt idx="367">
                  <c:v>1224.8488751969155</c:v>
                </c:pt>
                <c:pt idx="368">
                  <c:v>1218.8492921551917</c:v>
                </c:pt>
                <c:pt idx="369">
                  <c:v>1212.7798509276574</c:v>
                </c:pt>
                <c:pt idx="370">
                  <c:v>1206.641184888008</c:v>
                </c:pt>
                <c:pt idx="371">
                  <c:v>1200.4339297699594</c:v>
                </c:pt>
                <c:pt idx="372">
                  <c:v>1194.1587234707411</c:v>
                </c:pt>
                <c:pt idx="373">
                  <c:v>1187.8162058564199</c:v>
                </c:pt>
                <c:pt idx="374">
                  <c:v>1181.4070185691617</c:v>
                </c:pt>
                <c:pt idx="375">
                  <c:v>1174.9318048365344</c:v>
                </c:pt>
                <c:pt idx="376">
                  <c:v>1168.3912092829521</c:v>
                </c:pt>
                <c:pt idx="377">
                  <c:v>1161.7858777433516</c:v>
                </c:pt>
                <c:pt idx="378">
                  <c:v>1155.1164570791914</c:v>
                </c:pt>
                <c:pt idx="379">
                  <c:v>1148.3835949968575</c:v>
                </c:pt>
                <c:pt idx="380">
                  <c:v>1141.5879398685552</c:v>
                </c:pt>
                <c:pt idx="381">
                  <c:v>1134.7301405557605</c:v>
                </c:pt>
                <c:pt idx="382">
                  <c:v>1127.8108462353041</c:v>
                </c:pt>
                <c:pt idx="383">
                  <c:v>1120.830706228151</c:v>
                </c:pt>
                <c:pt idx="384">
                  <c:v>1113.790369830941</c:v>
                </c:pt>
                <c:pt idx="385">
                  <c:v>1106.6904861503438</c:v>
                </c:pt>
                <c:pt idx="386">
                  <c:v>1099.5317039402853</c:v>
                </c:pt>
                <c:pt idx="387">
                  <c:v>1092.314671442092</c:v>
                </c:pt>
                <c:pt idx="388">
                  <c:v>1085.0400362276005</c:v>
                </c:pt>
                <c:pt idx="389">
                  <c:v>1077.7084450452714</c:v>
                </c:pt>
                <c:pt idx="390">
                  <c:v>1070.3205436693479</c:v>
                </c:pt>
                <c:pt idx="391">
                  <c:v>1062.8769767520889</c:v>
                </c:pt>
                <c:pt idx="392">
                  <c:v>1055.3783876791113</c:v>
                </c:pt>
                <c:pt idx="393">
                  <c:v>1047.8254184278633</c:v>
                </c:pt>
                <c:pt idx="394">
                  <c:v>1040.2187094292551</c:v>
                </c:pt>
                <c:pt idx="395">
                  <c:v>1032.5588994324639</c:v>
                </c:pt>
                <c:pt idx="396">
                  <c:v>1024.8466253729314</c:v>
                </c:pt>
                <c:pt idx="397">
                  <c:v>1017.0825222435648</c:v>
                </c:pt>
                <c:pt idx="398">
                  <c:v>1009.2672229691525</c:v>
                </c:pt>
                <c:pt idx="399">
                  <c:v>1001.4013582840001</c:v>
                </c:pt>
                <c:pt idx="400">
                  <c:v>993.48555661279079</c:v>
                </c:pt>
                <c:pt idx="401">
                  <c:v>985.52044395467033</c:v>
                </c:pt>
                <c:pt idx="402">
                  <c:v>977.5066437705558</c:v>
                </c:pt>
                <c:pt idx="403">
                  <c:v>969.44477687366145</c:v>
                </c:pt>
                <c:pt idx="404">
                  <c:v>961.33546132323602</c:v>
                </c:pt>
                <c:pt idx="405">
                  <c:v>953.17931232150011</c:v>
                </c:pt>
                <c:pt idx="406">
                  <c:v>944.97694211377279</c:v>
                </c:pt>
                <c:pt idx="407">
                  <c:v>936.72895989177096</c:v>
                </c:pt>
                <c:pt idx="408">
                  <c:v>928.43597170006603</c:v>
                </c:pt>
                <c:pt idx="409">
                  <c:v>920.0985803456781</c:v>
                </c:pt>
                <c:pt idx="410">
                  <c:v>911.7173853107862</c:v>
                </c:pt>
                <c:pt idx="411">
                  <c:v>903.29298266853209</c:v>
                </c:pt>
                <c:pt idx="412">
                  <c:v>894.82596500189209</c:v>
                </c:pt>
                <c:pt idx="413">
                  <c:v>886.31692132558999</c:v>
                </c:pt>
                <c:pt idx="414">
                  <c:v>877.76643701102307</c:v>
                </c:pt>
                <c:pt idx="415">
                  <c:v>869.17509371417032</c:v>
                </c:pt>
                <c:pt idx="416">
                  <c:v>860.54346930645147</c:v>
                </c:pt>
                <c:pt idx="417">
                  <c:v>851.87213780850357</c:v>
                </c:pt>
                <c:pt idx="418">
                  <c:v>843.16166932684075</c:v>
                </c:pt>
                <c:pt idx="419">
                  <c:v>834.41262999336107</c:v>
                </c:pt>
                <c:pt idx="420">
                  <c:v>825.62558190766333</c:v>
                </c:pt>
                <c:pt idx="421">
                  <c:v>816.80108308213573</c:v>
                </c:pt>
                <c:pt idx="422">
                  <c:v>807.93968738977742</c:v>
                </c:pt>
                <c:pt idx="423">
                  <c:v>799.04194451471199</c:v>
                </c:pt>
                <c:pt idx="424">
                  <c:v>790.10839990535294</c:v>
                </c:pt>
                <c:pt idx="425">
                  <c:v>781.13959473017769</c:v>
                </c:pt>
                <c:pt idx="426">
                  <c:v>772.1360658360685</c:v>
                </c:pt>
                <c:pt idx="427">
                  <c:v>763.09834570917667</c:v>
                </c:pt>
                <c:pt idx="428">
                  <c:v>754.02696243826563</c:v>
                </c:pt>
                <c:pt idx="429">
                  <c:v>744.92243968048888</c:v>
                </c:pt>
                <c:pt idx="430">
                  <c:v>735.78529662955714</c:v>
                </c:pt>
                <c:pt idx="431">
                  <c:v>726.61604798624921</c:v>
                </c:pt>
                <c:pt idx="432">
                  <c:v>717.41520393122141</c:v>
                </c:pt>
                <c:pt idx="433">
                  <c:v>708.18327010006863</c:v>
                </c:pt>
                <c:pt idx="434">
                  <c:v>698.9207475605906</c:v>
                </c:pt>
                <c:pt idx="435">
                  <c:v>689.628132792217</c:v>
                </c:pt>
                <c:pt idx="436">
                  <c:v>680.30591766754446</c:v>
                </c:pt>
                <c:pt idx="437">
                  <c:v>670.95458943593871</c:v>
                </c:pt>
                <c:pt idx="438">
                  <c:v>661.57463070915435</c:v>
                </c:pt>
                <c:pt idx="439">
                  <c:v>652.16651944892635</c:v>
                </c:pt>
                <c:pt idx="440">
                  <c:v>642.73072895648477</c:v>
                </c:pt>
                <c:pt idx="441">
                  <c:v>633.26772786394758</c:v>
                </c:pt>
                <c:pt idx="442">
                  <c:v>623.77798012754374</c:v>
                </c:pt>
                <c:pt idx="443">
                  <c:v>614.26194502262013</c:v>
                </c:pt>
                <c:pt idx="444">
                  <c:v>604.72007714038614</c:v>
                </c:pt>
                <c:pt idx="445">
                  <c:v>595.15282638635051</c:v>
                </c:pt>
                <c:pt idx="446">
                  <c:v>585.5606379804027</c:v>
                </c:pt>
                <c:pt idx="447">
                  <c:v>575.94395245849546</c:v>
                </c:pt>
                <c:pt idx="448">
                  <c:v>566.30320567588183</c:v>
                </c:pt>
                <c:pt idx="449">
                  <c:v>556.63882881186225</c:v>
                </c:pt>
                <c:pt idx="450">
                  <c:v>546.95124837599792</c:v>
                </c:pt>
                <c:pt idx="451">
                  <c:v>537.24088621574526</c:v>
                </c:pt>
                <c:pt idx="452">
                  <c:v>527.50815952546861</c:v>
                </c:pt>
                <c:pt idx="453">
                  <c:v>517.75348085678797</c:v>
                </c:pt>
                <c:pt idx="454">
                  <c:v>507.97725813021935</c:v>
                </c:pt>
                <c:pt idx="455">
                  <c:v>498.17989464806493</c:v>
                </c:pt>
                <c:pt idx="456">
                  <c:v>488.3617891085122</c:v>
                </c:pt>
                <c:pt idx="457">
                  <c:v>478.52333562090058</c:v>
                </c:pt>
                <c:pt idx="458">
                  <c:v>468.66492372211525</c:v>
                </c:pt>
                <c:pt idx="459">
                  <c:v>458.78693839406816</c:v>
                </c:pt>
                <c:pt idx="460">
                  <c:v>448.88976008222699</c:v>
                </c:pt>
                <c:pt idx="461">
                  <c:v>438.97376471515321</c:v>
                </c:pt>
                <c:pt idx="462">
                  <c:v>429.03932372501146</c:v>
                </c:pt>
                <c:pt idx="463">
                  <c:v>419.08680406901209</c:v>
                </c:pt>
                <c:pt idx="464">
                  <c:v>409.11656825175083</c:v>
                </c:pt>
                <c:pt idx="465">
                  <c:v>399.12897434840892</c:v>
                </c:pt>
                <c:pt idx="466">
                  <c:v>389.12437602877787</c:v>
                </c:pt>
                <c:pt idx="467">
                  <c:v>379.10312258207466</c:v>
                </c:pt>
                <c:pt idx="468">
                  <c:v>369.06555894251233</c:v>
                </c:pt>
                <c:pt idx="469">
                  <c:v>359.01202571559298</c:v>
                </c:pt>
                <c:pt idx="470">
                  <c:v>348.9428592050898</c:v>
                </c:pt>
                <c:pt idx="471">
                  <c:v>338.85839144068603</c:v>
                </c:pt>
                <c:pt idx="472">
                  <c:v>328.75895020623932</c:v>
                </c:pt>
                <c:pt idx="473">
                  <c:v>318.64485906864041</c:v>
                </c:pt>
                <c:pt idx="474">
                  <c:v>308.51643740723568</c:v>
                </c:pt>
                <c:pt idx="475">
                  <c:v>298.3740004437845</c:v>
                </c:pt>
                <c:pt idx="476">
                  <c:v>288.21785927292183</c:v>
                </c:pt>
                <c:pt idx="477">
                  <c:v>278.04832089309809</c:v>
                </c:pt>
                <c:pt idx="478">
                  <c:v>267.86568823796875</c:v>
                </c:pt>
                <c:pt idx="479">
                  <c:v>257.6702602082064</c:v>
                </c:pt>
                <c:pt idx="480">
                  <c:v>247.46233170370914</c:v>
                </c:pt>
                <c:pt idx="481">
                  <c:v>237.24219365617978</c:v>
                </c:pt>
                <c:pt idx="482">
                  <c:v>227.01013306205047</c:v>
                </c:pt>
                <c:pt idx="483">
                  <c:v>216.76643301572869</c:v>
                </c:pt>
                <c:pt idx="484">
                  <c:v>206.51137274314075</c:v>
                </c:pt>
                <c:pt idx="485">
                  <c:v>196.24522763554955</c:v>
                </c:pt>
                <c:pt idx="486">
                  <c:v>185.96826928362444</c:v>
                </c:pt>
                <c:pt idx="487">
                  <c:v>175.68076551174082</c:v>
                </c:pt>
                <c:pt idx="488">
                  <c:v>165.38298041248873</c:v>
                </c:pt>
                <c:pt idx="489">
                  <c:v>155.07517438136935</c:v>
                </c:pt>
                <c:pt idx="490">
                  <c:v>144.75760415165956</c:v>
                </c:pt>
                <c:pt idx="491">
                  <c:v>134.43052282942494</c:v>
                </c:pt>
                <c:pt idx="492">
                  <c:v>124.09417992866238</c:v>
                </c:pt>
                <c:pt idx="493">
                  <c:v>113.74882140655403</c:v>
                </c:pt>
                <c:pt idx="494">
                  <c:v>103.39468969881452</c:v>
                </c:pt>
                <c:pt idx="495">
                  <c:v>93.032023755114636</c:v>
                </c:pt>
                <c:pt idx="496">
                  <c:v>82.661059074564406</c:v>
                </c:pt>
                <c:pt idx="497">
                  <c:v>72.282027741239631</c:v>
                </c:pt>
                <c:pt idx="498">
                  <c:v>61.895158459736237</c:v>
                </c:pt>
                <c:pt idx="499">
                  <c:v>51.500676590737307</c:v>
                </c:pt>
                <c:pt idx="500">
                  <c:v>41.098804186578192</c:v>
                </c:pt>
                <c:pt idx="501">
                  <c:v>30.689760026795661</c:v>
                </c:pt>
                <c:pt idx="502">
                  <c:v>20.273759653647403</c:v>
                </c:pt>
                <c:pt idx="503">
                  <c:v>9.8510154075888465</c:v>
                </c:pt>
                <c:pt idx="504">
                  <c:v>-0.57826353730539637</c:v>
                </c:pt>
                <c:pt idx="505">
                  <c:v>-0.58869603481298183</c:v>
                </c:pt>
                <c:pt idx="506">
                  <c:v>-0.59912853854687931</c:v>
                </c:pt>
                <c:pt idx="507">
                  <c:v>-0.60956104850688764</c:v>
                </c:pt>
                <c:pt idx="508">
                  <c:v>-0.61999356469280564</c:v>
                </c:pt>
                <c:pt idx="509">
                  <c:v>-0.63042608710443215</c:v>
                </c:pt>
                <c:pt idx="510">
                  <c:v>-0.640858615741566</c:v>
                </c:pt>
                <c:pt idx="511">
                  <c:v>-0.65129115060400611</c:v>
                </c:pt>
                <c:pt idx="512">
                  <c:v>-0.66172369169155121</c:v>
                </c:pt>
                <c:pt idx="513">
                  <c:v>-0.67215623900400023</c:v>
                </c:pt>
                <c:pt idx="514">
                  <c:v>-0.68258879254115201</c:v>
                </c:pt>
                <c:pt idx="515">
                  <c:v>-0.69302135230280548</c:v>
                </c:pt>
                <c:pt idx="516">
                  <c:v>-0.70345391828875936</c:v>
                </c:pt>
                <c:pt idx="517">
                  <c:v>-0.71388649049881259</c:v>
                </c:pt>
                <c:pt idx="518">
                  <c:v>-0.7243190689327641</c:v>
                </c:pt>
                <c:pt idx="519">
                  <c:v>-0.73475165359041261</c:v>
                </c:pt>
                <c:pt idx="520">
                  <c:v>-0.74518424447155707</c:v>
                </c:pt>
                <c:pt idx="521">
                  <c:v>-0.7556168415759964</c:v>
                </c:pt>
                <c:pt idx="522">
                  <c:v>-0.76604944490352944</c:v>
                </c:pt>
                <c:pt idx="523">
                  <c:v>-0.77648205445395502</c:v>
                </c:pt>
                <c:pt idx="524">
                  <c:v>-0.78691467022707207</c:v>
                </c:pt>
                <c:pt idx="525">
                  <c:v>-0.79734729222267953</c:v>
                </c:pt>
                <c:pt idx="526">
                  <c:v>-0.80777992044057623</c:v>
                </c:pt>
                <c:pt idx="527">
                  <c:v>-0.81821255488056099</c:v>
                </c:pt>
                <c:pt idx="528">
                  <c:v>-0.82864519554243277</c:v>
                </c:pt>
                <c:pt idx="529">
                  <c:v>-0.83907784242599048</c:v>
                </c:pt>
                <c:pt idx="530">
                  <c:v>-0.84951049553103308</c:v>
                </c:pt>
                <c:pt idx="531">
                  <c:v>-0.85994315485735939</c:v>
                </c:pt>
                <c:pt idx="532">
                  <c:v>-0.87037582040476835</c:v>
                </c:pt>
                <c:pt idx="533">
                  <c:v>-0.8808084921730589</c:v>
                </c:pt>
                <c:pt idx="534">
                  <c:v>-0.89124117016202986</c:v>
                </c:pt>
                <c:pt idx="535">
                  <c:v>-0.90167385437148018</c:v>
                </c:pt>
                <c:pt idx="536">
                  <c:v>-0.91210654480120879</c:v>
                </c:pt>
                <c:pt idx="537">
                  <c:v>-0.92253924145101462</c:v>
                </c:pt>
                <c:pt idx="538">
                  <c:v>-0.93297194432069663</c:v>
                </c:pt>
                <c:pt idx="539">
                  <c:v>-0.94340465341005375</c:v>
                </c:pt>
                <c:pt idx="540">
                  <c:v>-0.95383736871888491</c:v>
                </c:pt>
                <c:pt idx="541">
                  <c:v>-0.96427009024698895</c:v>
                </c:pt>
                <c:pt idx="542">
                  <c:v>-0.97470281799416492</c:v>
                </c:pt>
                <c:pt idx="543">
                  <c:v>-0.98513555196021174</c:v>
                </c:pt>
                <c:pt idx="544">
                  <c:v>-0.99556829214492826</c:v>
                </c:pt>
                <c:pt idx="545">
                  <c:v>-1.0060010385481135</c:v>
                </c:pt>
                <c:pt idx="546">
                  <c:v>-1.0164337911695664</c:v>
                </c:pt>
                <c:pt idx="547">
                  <c:v>-1.0268665500090861</c:v>
                </c:pt>
                <c:pt idx="548">
                  <c:v>-1.0372993150664713</c:v>
                </c:pt>
                <c:pt idx="549">
                  <c:v>-1.0477320863415209</c:v>
                </c:pt>
                <c:pt idx="550">
                  <c:v>-1.0581648638340342</c:v>
                </c:pt>
                <c:pt idx="551">
                  <c:v>-1.0685976475438099</c:v>
                </c:pt>
                <c:pt idx="552">
                  <c:v>-1.079030437470647</c:v>
                </c:pt>
                <c:pt idx="553">
                  <c:v>-1.0894632336143444</c:v>
                </c:pt>
                <c:pt idx="554">
                  <c:v>-1.0998960359747012</c:v>
                </c:pt>
                <c:pt idx="555">
                  <c:v>-1.1103288445515165</c:v>
                </c:pt>
                <c:pt idx="556">
                  <c:v>-1.120761659344589</c:v>
                </c:pt>
                <c:pt idx="557">
                  <c:v>-1.1311944803537179</c:v>
                </c:pt>
                <c:pt idx="558">
                  <c:v>-1.1416273075787022</c:v>
                </c:pt>
                <c:pt idx="559">
                  <c:v>-1.1520601410193407</c:v>
                </c:pt>
                <c:pt idx="560">
                  <c:v>-1.1624929806754325</c:v>
                </c:pt>
                <c:pt idx="561">
                  <c:v>-1.1729258265467766</c:v>
                </c:pt>
                <c:pt idx="562">
                  <c:v>-1.183358678633172</c:v>
                </c:pt>
                <c:pt idx="563">
                  <c:v>-1.1937915369344176</c:v>
                </c:pt>
                <c:pt idx="564">
                  <c:v>-1.2042244014503125</c:v>
                </c:pt>
                <c:pt idx="565">
                  <c:v>-1.2146572721806557</c:v>
                </c:pt>
                <c:pt idx="566">
                  <c:v>-1.2250901491252462</c:v>
                </c:pt>
                <c:pt idx="567">
                  <c:v>-1.235523032283883</c:v>
                </c:pt>
                <c:pt idx="568">
                  <c:v>-1.2459559216563652</c:v>
                </c:pt>
                <c:pt idx="569">
                  <c:v>-1.2563888172424917</c:v>
                </c:pt>
                <c:pt idx="570">
                  <c:v>-1.2668217190420616</c:v>
                </c:pt>
                <c:pt idx="571">
                  <c:v>-1.2772546270548739</c:v>
                </c:pt>
                <c:pt idx="572">
                  <c:v>-1.2876875412807276</c:v>
                </c:pt>
                <c:pt idx="573">
                  <c:v>-1.298120461719422</c:v>
                </c:pt>
                <c:pt idx="574">
                  <c:v>-1.3085533883707556</c:v>
                </c:pt>
                <c:pt idx="575">
                  <c:v>-1.3189863212345279</c:v>
                </c:pt>
                <c:pt idx="576">
                  <c:v>-1.3294192603105377</c:v>
                </c:pt>
                <c:pt idx="577">
                  <c:v>-1.3398522055985842</c:v>
                </c:pt>
                <c:pt idx="578">
                  <c:v>-1.3502851570984664</c:v>
                </c:pt>
                <c:pt idx="579">
                  <c:v>-1.3607181148099834</c:v>
                </c:pt>
                <c:pt idx="580">
                  <c:v>-1.3711510787329342</c:v>
                </c:pt>
                <c:pt idx="581">
                  <c:v>-1.3815840488671176</c:v>
                </c:pt>
                <c:pt idx="582">
                  <c:v>-1.3920170252123329</c:v>
                </c:pt>
                <c:pt idx="583">
                  <c:v>-1.4024500077683792</c:v>
                </c:pt>
                <c:pt idx="584">
                  <c:v>-1.4128829965350556</c:v>
                </c:pt>
                <c:pt idx="585">
                  <c:v>-1.4233159915121609</c:v>
                </c:pt>
                <c:pt idx="586">
                  <c:v>-1.4337489926994946</c:v>
                </c:pt>
                <c:pt idx="587">
                  <c:v>-1.4441820000968555</c:v>
                </c:pt>
                <c:pt idx="588">
                  <c:v>-1.4546150137040426</c:v>
                </c:pt>
                <c:pt idx="589">
                  <c:v>-1.4650480335208551</c:v>
                </c:pt>
                <c:pt idx="590">
                  <c:v>-1.4754810595470922</c:v>
                </c:pt>
                <c:pt idx="591">
                  <c:v>-1.4859140917825528</c:v>
                </c:pt>
                <c:pt idx="592">
                  <c:v>-1.4963471302270361</c:v>
                </c:pt>
                <c:pt idx="593">
                  <c:v>-1.5067801748803411</c:v>
                </c:pt>
                <c:pt idx="594">
                  <c:v>-1.517213225742267</c:v>
                </c:pt>
                <c:pt idx="595">
                  <c:v>-1.5276462828126127</c:v>
                </c:pt>
                <c:pt idx="596">
                  <c:v>-1.5380793460911775</c:v>
                </c:pt>
                <c:pt idx="597">
                  <c:v>-1.5485124155777603</c:v>
                </c:pt>
                <c:pt idx="598">
                  <c:v>-1.5589454912721605</c:v>
                </c:pt>
                <c:pt idx="599">
                  <c:v>-1.5693785731741772</c:v>
                </c:pt>
                <c:pt idx="600">
                  <c:v>-1.5798116612836093</c:v>
                </c:pt>
                <c:pt idx="601">
                  <c:v>-1.5902447556002559</c:v>
                </c:pt>
                <c:pt idx="602">
                  <c:v>-1.6006778561239163</c:v>
                </c:pt>
                <c:pt idx="603">
                  <c:v>-1.6111109628543894</c:v>
                </c:pt>
                <c:pt idx="604">
                  <c:v>-1.6215440757914745</c:v>
                </c:pt>
                <c:pt idx="605">
                  <c:v>-1.6319771949349706</c:v>
                </c:pt>
                <c:pt idx="606">
                  <c:v>-1.6424103202846769</c:v>
                </c:pt>
                <c:pt idx="607">
                  <c:v>-1.6528434518403927</c:v>
                </c:pt>
                <c:pt idx="608">
                  <c:v>-1.663276589601917</c:v>
                </c:pt>
                <c:pt idx="609">
                  <c:v>-1.673709733569049</c:v>
                </c:pt>
                <c:pt idx="610">
                  <c:v>-1.6841428837415877</c:v>
                </c:pt>
                <c:pt idx="611">
                  <c:v>-1.6945760401193324</c:v>
                </c:pt>
                <c:pt idx="612">
                  <c:v>-1.705009202702082</c:v>
                </c:pt>
                <c:pt idx="613">
                  <c:v>-1.7154423714896359</c:v>
                </c:pt>
                <c:pt idx="614">
                  <c:v>-1.7258755464817932</c:v>
                </c:pt>
                <c:pt idx="615">
                  <c:v>-1.7363087276783531</c:v>
                </c:pt>
                <c:pt idx="616">
                  <c:v>-1.7467419150791146</c:v>
                </c:pt>
                <c:pt idx="617">
                  <c:v>-1.7571751086838769</c:v>
                </c:pt>
                <c:pt idx="618">
                  <c:v>-1.7676083084924394</c:v>
                </c:pt>
                <c:pt idx="619">
                  <c:v>-1.7780415145046011</c:v>
                </c:pt>
                <c:pt idx="620">
                  <c:v>-1.7884747267201611</c:v>
                </c:pt>
                <c:pt idx="621">
                  <c:v>-1.7989079451389185</c:v>
                </c:pt>
                <c:pt idx="622">
                  <c:v>-1.8093411697606727</c:v>
                </c:pt>
                <c:pt idx="623">
                  <c:v>-1.819774400585223</c:v>
                </c:pt>
                <c:pt idx="624">
                  <c:v>-1.8302076376123684</c:v>
                </c:pt>
                <c:pt idx="625">
                  <c:v>-1.8406408808419079</c:v>
                </c:pt>
                <c:pt idx="626">
                  <c:v>-1.8510741302736411</c:v>
                </c:pt>
                <c:pt idx="627">
                  <c:v>-1.8615073859073668</c:v>
                </c:pt>
                <c:pt idx="628">
                  <c:v>-1.8719406477428844</c:v>
                </c:pt>
                <c:pt idx="629">
                  <c:v>-1.882373915779993</c:v>
                </c:pt>
                <c:pt idx="630">
                  <c:v>-1.892807190018492</c:v>
                </c:pt>
                <c:pt idx="631">
                  <c:v>-1.9032404704581805</c:v>
                </c:pt>
                <c:pt idx="632">
                  <c:v>-1.9136737570988576</c:v>
                </c:pt>
                <c:pt idx="633">
                  <c:v>-1.9241070499403228</c:v>
                </c:pt>
                <c:pt idx="634">
                  <c:v>-1.9345403489823749</c:v>
                </c:pt>
                <c:pt idx="635">
                  <c:v>-1.9449736542248135</c:v>
                </c:pt>
                <c:pt idx="636">
                  <c:v>-1.9554069656674378</c:v>
                </c:pt>
                <c:pt idx="637">
                  <c:v>-1.9658402833100468</c:v>
                </c:pt>
                <c:pt idx="638">
                  <c:v>-1.9762736071524398</c:v>
                </c:pt>
                <c:pt idx="639">
                  <c:v>-1.9867069371944162</c:v>
                </c:pt>
                <c:pt idx="640">
                  <c:v>-1.9971402734357748</c:v>
                </c:pt>
                <c:pt idx="641">
                  <c:v>-2.0075736158763151</c:v>
                </c:pt>
                <c:pt idx="642">
                  <c:v>-2.0180069645158367</c:v>
                </c:pt>
                <c:pt idx="643">
                  <c:v>-2.0284403193541385</c:v>
                </c:pt>
                <c:pt idx="644">
                  <c:v>-2.0388736803910197</c:v>
                </c:pt>
                <c:pt idx="645">
                  <c:v>-2.0493070476262796</c:v>
                </c:pt>
                <c:pt idx="646">
                  <c:v>-2.0597404210597174</c:v>
                </c:pt>
                <c:pt idx="647">
                  <c:v>-2.0701738006911325</c:v>
                </c:pt>
                <c:pt idx="648">
                  <c:v>-2.0806071865203242</c:v>
                </c:pt>
                <c:pt idx="649">
                  <c:v>-2.0910405785470916</c:v>
                </c:pt>
                <c:pt idx="650">
                  <c:v>-2.101473976771234</c:v>
                </c:pt>
                <c:pt idx="651">
                  <c:v>-2.1119073811925504</c:v>
                </c:pt>
                <c:pt idx="652">
                  <c:v>-2.1223407918108403</c:v>
                </c:pt>
                <c:pt idx="653">
                  <c:v>-2.1327742086259032</c:v>
                </c:pt>
                <c:pt idx="654">
                  <c:v>-2.1432076316375381</c:v>
                </c:pt>
                <c:pt idx="655">
                  <c:v>-2.1536410608455445</c:v>
                </c:pt>
                <c:pt idx="656">
                  <c:v>-2.1640744962497216</c:v>
                </c:pt>
                <c:pt idx="657">
                  <c:v>-2.1745079378498686</c:v>
                </c:pt>
                <c:pt idx="658">
                  <c:v>-2.1849413856457849</c:v>
                </c:pt>
                <c:pt idx="659">
                  <c:v>-2.1953748396372696</c:v>
                </c:pt>
                <c:pt idx="660">
                  <c:v>-2.2058082998241222</c:v>
                </c:pt>
                <c:pt idx="661">
                  <c:v>-2.2162417662061418</c:v>
                </c:pt>
                <c:pt idx="662">
                  <c:v>-2.2266752387831277</c:v>
                </c:pt>
                <c:pt idx="663">
                  <c:v>-2.2371087175548796</c:v>
                </c:pt>
                <c:pt idx="664">
                  <c:v>-2.2475422025211964</c:v>
                </c:pt>
                <c:pt idx="665">
                  <c:v>-2.2579756936818778</c:v>
                </c:pt>
                <c:pt idx="666">
                  <c:v>-2.2684091910367226</c:v>
                </c:pt>
                <c:pt idx="667">
                  <c:v>-2.2788426945855305</c:v>
                </c:pt>
                <c:pt idx="668">
                  <c:v>-2.2892762043281003</c:v>
                </c:pt>
                <c:pt idx="669">
                  <c:v>-2.2997097202642318</c:v>
                </c:pt>
                <c:pt idx="670">
                  <c:v>-2.3101432423937243</c:v>
                </c:pt>
                <c:pt idx="671">
                  <c:v>-2.3205767707163769</c:v>
                </c:pt>
                <c:pt idx="672">
                  <c:v>-2.3310103052319895</c:v>
                </c:pt>
                <c:pt idx="673">
                  <c:v>-2.3414438459403608</c:v>
                </c:pt>
                <c:pt idx="674">
                  <c:v>-2.3518773928412906</c:v>
                </c:pt>
                <c:pt idx="675">
                  <c:v>-2.3623109459345777</c:v>
                </c:pt>
                <c:pt idx="676">
                  <c:v>-2.3727445052200218</c:v>
                </c:pt>
                <c:pt idx="677">
                  <c:v>-2.3831780706974222</c:v>
                </c:pt>
                <c:pt idx="678">
                  <c:v>-2.3936116423665781</c:v>
                </c:pt>
                <c:pt idx="679">
                  <c:v>-2.4040452202272893</c:v>
                </c:pt>
                <c:pt idx="680">
                  <c:v>-2.4144788042793546</c:v>
                </c:pt>
                <c:pt idx="681">
                  <c:v>-2.4249123945225737</c:v>
                </c:pt>
                <c:pt idx="682">
                  <c:v>-2.4353459909567459</c:v>
                </c:pt>
                <c:pt idx="683">
                  <c:v>-2.4457795935816704</c:v>
                </c:pt>
                <c:pt idx="684">
                  <c:v>-2.456213202397147</c:v>
                </c:pt>
                <c:pt idx="685">
                  <c:v>-2.4666468174029745</c:v>
                </c:pt>
                <c:pt idx="686">
                  <c:v>-2.4770804385989527</c:v>
                </c:pt>
                <c:pt idx="687">
                  <c:v>-2.4875140659848807</c:v>
                </c:pt>
                <c:pt idx="688">
                  <c:v>-2.4979476995605583</c:v>
                </c:pt>
                <c:pt idx="689">
                  <c:v>-2.5083813393257843</c:v>
                </c:pt>
                <c:pt idx="690">
                  <c:v>-2.5188149852803585</c:v>
                </c:pt>
                <c:pt idx="691">
                  <c:v>-2.5292486374240801</c:v>
                </c:pt>
                <c:pt idx="692">
                  <c:v>-2.5396822957567489</c:v>
                </c:pt>
                <c:pt idx="693">
                  <c:v>-2.5501159602781636</c:v>
                </c:pt>
                <c:pt idx="694">
                  <c:v>-2.5605496309881239</c:v>
                </c:pt>
                <c:pt idx="695">
                  <c:v>-2.5709833078864293</c:v>
                </c:pt>
                <c:pt idx="696">
                  <c:v>-2.5814169909728792</c:v>
                </c:pt>
                <c:pt idx="697">
                  <c:v>-2.5918506802472732</c:v>
                </c:pt>
                <c:pt idx="698">
                  <c:v>-2.6022843757094103</c:v>
                </c:pt>
                <c:pt idx="699">
                  <c:v>-2.6127180773590899</c:v>
                </c:pt>
                <c:pt idx="700">
                  <c:v>-2.6231517851961117</c:v>
                </c:pt>
                <c:pt idx="701">
                  <c:v>-2.633585499220275</c:v>
                </c:pt>
                <c:pt idx="702">
                  <c:v>-2.6440192194313794</c:v>
                </c:pt>
                <c:pt idx="703">
                  <c:v>-2.6544529458292239</c:v>
                </c:pt>
                <c:pt idx="704">
                  <c:v>-2.664886678413608</c:v>
                </c:pt>
                <c:pt idx="705">
                  <c:v>-2.6753204171843317</c:v>
                </c:pt>
                <c:pt idx="706">
                  <c:v>-2.685754162141194</c:v>
                </c:pt>
                <c:pt idx="707">
                  <c:v>-2.6961879132839943</c:v>
                </c:pt>
                <c:pt idx="708">
                  <c:v>-2.7066216706125323</c:v>
                </c:pt>
                <c:pt idx="709">
                  <c:v>-2.7170554341266073</c:v>
                </c:pt>
                <c:pt idx="710">
                  <c:v>-2.7274892038260186</c:v>
                </c:pt>
                <c:pt idx="711">
                  <c:v>-2.7379229797105658</c:v>
                </c:pt>
                <c:pt idx="712">
                  <c:v>-2.7483567617800482</c:v>
                </c:pt>
                <c:pt idx="713">
                  <c:v>-2.7587905500342655</c:v>
                </c:pt>
                <c:pt idx="714">
                  <c:v>-2.7692243444730171</c:v>
                </c:pt>
                <c:pt idx="715">
                  <c:v>-2.7796581450961022</c:v>
                </c:pt>
                <c:pt idx="716">
                  <c:v>-2.7900919519033205</c:v>
                </c:pt>
                <c:pt idx="717">
                  <c:v>-2.8005257648944712</c:v>
                </c:pt>
                <c:pt idx="718">
                  <c:v>-2.8109595840693542</c:v>
                </c:pt>
                <c:pt idx="719">
                  <c:v>-2.8213934094277686</c:v>
                </c:pt>
                <c:pt idx="720">
                  <c:v>-2.8318272409695142</c:v>
                </c:pt>
                <c:pt idx="721">
                  <c:v>-2.8422610786943903</c:v>
                </c:pt>
                <c:pt idx="722">
                  <c:v>-2.8526949226021965</c:v>
                </c:pt>
                <c:pt idx="723">
                  <c:v>-2.8631287726927321</c:v>
                </c:pt>
                <c:pt idx="724">
                  <c:v>-2.873562628965797</c:v>
                </c:pt>
                <c:pt idx="725">
                  <c:v>-2.8839964914211902</c:v>
                </c:pt>
                <c:pt idx="726">
                  <c:v>-2.8944303600587111</c:v>
                </c:pt>
                <c:pt idx="727">
                  <c:v>-2.9048642348781595</c:v>
                </c:pt>
                <c:pt idx="728">
                  <c:v>-2.915298115879335</c:v>
                </c:pt>
                <c:pt idx="729">
                  <c:v>-2.9257320030620368</c:v>
                </c:pt>
                <c:pt idx="730">
                  <c:v>-2.9361658964260648</c:v>
                </c:pt>
                <c:pt idx="731">
                  <c:v>-2.9465997959712182</c:v>
                </c:pt>
                <c:pt idx="732">
                  <c:v>-2.9570337016972967</c:v>
                </c:pt>
                <c:pt idx="733">
                  <c:v>-2.9674676136040996</c:v>
                </c:pt>
                <c:pt idx="734">
                  <c:v>-2.9779015316914266</c:v>
                </c:pt>
                <c:pt idx="735">
                  <c:v>-2.9883354559590769</c:v>
                </c:pt>
                <c:pt idx="736">
                  <c:v>-2.9987693864068503</c:v>
                </c:pt>
                <c:pt idx="737">
                  <c:v>-3.0092033230345465</c:v>
                </c:pt>
                <c:pt idx="738">
                  <c:v>-3.0196372658419648</c:v>
                </c:pt>
                <c:pt idx="739">
                  <c:v>-3.0300712148289048</c:v>
                </c:pt>
                <c:pt idx="740">
                  <c:v>-3.040505169995166</c:v>
                </c:pt>
                <c:pt idx="741">
                  <c:v>-3.0509391313405478</c:v>
                </c:pt>
                <c:pt idx="742">
                  <c:v>-3.0613730988648498</c:v>
                </c:pt>
                <c:pt idx="743">
                  <c:v>-3.0718070725678719</c:v>
                </c:pt>
                <c:pt idx="744">
                  <c:v>-3.082241052449413</c:v>
                </c:pt>
                <c:pt idx="745">
                  <c:v>-3.0926750385092734</c:v>
                </c:pt>
                <c:pt idx="746">
                  <c:v>-3.1031090307472522</c:v>
                </c:pt>
                <c:pt idx="747">
                  <c:v>-3.1135430291631492</c:v>
                </c:pt>
                <c:pt idx="748">
                  <c:v>-3.1239770337567636</c:v>
                </c:pt>
                <c:pt idx="749">
                  <c:v>-3.1344110445278952</c:v>
                </c:pt>
                <c:pt idx="750">
                  <c:v>-3.1448450614763437</c:v>
                </c:pt>
                <c:pt idx="751">
                  <c:v>-3.1552790846019083</c:v>
                </c:pt>
                <c:pt idx="752">
                  <c:v>-3.1657131139043888</c:v>
                </c:pt>
                <c:pt idx="753">
                  <c:v>-3.1761471493835849</c:v>
                </c:pt>
                <c:pt idx="754">
                  <c:v>-3.1865811910392958</c:v>
                </c:pt>
                <c:pt idx="755">
                  <c:v>-3.1970152388713213</c:v>
                </c:pt>
                <c:pt idx="756">
                  <c:v>-3.2074492928794611</c:v>
                </c:pt>
                <c:pt idx="757">
                  <c:v>-3.2178833530635145</c:v>
                </c:pt>
                <c:pt idx="758">
                  <c:v>-3.2283174194232815</c:v>
                </c:pt>
                <c:pt idx="759">
                  <c:v>-3.2387514919585616</c:v>
                </c:pt>
                <c:pt idx="760">
                  <c:v>-3.2491855706691539</c:v>
                </c:pt>
                <c:pt idx="761">
                  <c:v>-3.2596196555548587</c:v>
                </c:pt>
                <c:pt idx="762">
                  <c:v>-3.2700537466154751</c:v>
                </c:pt>
                <c:pt idx="763">
                  <c:v>-3.2804878438508029</c:v>
                </c:pt>
                <c:pt idx="764">
                  <c:v>-3.2909219472606415</c:v>
                </c:pt>
                <c:pt idx="765">
                  <c:v>-3.3013560568447908</c:v>
                </c:pt>
                <c:pt idx="766">
                  <c:v>-3.3117901726030503</c:v>
                </c:pt>
                <c:pt idx="767">
                  <c:v>-3.3222242945352196</c:v>
                </c:pt>
                <c:pt idx="768">
                  <c:v>-3.3326584226410985</c:v>
                </c:pt>
                <c:pt idx="769">
                  <c:v>-3.3430925569204861</c:v>
                </c:pt>
                <c:pt idx="770">
                  <c:v>-3.3535266973731828</c:v>
                </c:pt>
                <c:pt idx="771">
                  <c:v>-3.3639608439989876</c:v>
                </c:pt>
                <c:pt idx="772">
                  <c:v>-3.3743949967977005</c:v>
                </c:pt>
                <c:pt idx="773">
                  <c:v>-3.384829155769121</c:v>
                </c:pt>
                <c:pt idx="774">
                  <c:v>-3.3952633209130485</c:v>
                </c:pt>
                <c:pt idx="775">
                  <c:v>-3.4056974922292831</c:v>
                </c:pt>
                <c:pt idx="776">
                  <c:v>-3.4161316697176241</c:v>
                </c:pt>
                <c:pt idx="777">
                  <c:v>-3.4265658533778711</c:v>
                </c:pt>
                <c:pt idx="778">
                  <c:v>-3.437000043209824</c:v>
                </c:pt>
                <c:pt idx="779">
                  <c:v>-3.4474342392132824</c:v>
                </c:pt>
                <c:pt idx="780">
                  <c:v>-3.4578684413880461</c:v>
                </c:pt>
                <c:pt idx="781">
                  <c:v>-3.4683026497339147</c:v>
                </c:pt>
                <c:pt idx="782">
                  <c:v>-3.4787368642506875</c:v>
                </c:pt>
                <c:pt idx="783">
                  <c:v>-3.4891710849381647</c:v>
                </c:pt>
                <c:pt idx="784">
                  <c:v>-3.4996053117961456</c:v>
                </c:pt>
                <c:pt idx="785">
                  <c:v>-3.5100395448244299</c:v>
                </c:pt>
                <c:pt idx="786">
                  <c:v>-3.5204737840228173</c:v>
                </c:pt>
                <c:pt idx="787">
                  <c:v>-3.5309080293911075</c:v>
                </c:pt>
                <c:pt idx="788">
                  <c:v>-3.5413422809291002</c:v>
                </c:pt>
                <c:pt idx="789">
                  <c:v>-3.5517765386365951</c:v>
                </c:pt>
                <c:pt idx="790">
                  <c:v>-3.5622108025133921</c:v>
                </c:pt>
                <c:pt idx="791">
                  <c:v>-3.5726450725592906</c:v>
                </c:pt>
                <c:pt idx="792">
                  <c:v>-3.5830793487740902</c:v>
                </c:pt>
                <c:pt idx="793">
                  <c:v>-3.5935136311575908</c:v>
                </c:pt>
                <c:pt idx="794">
                  <c:v>-3.6039479197095923</c:v>
                </c:pt>
                <c:pt idx="795">
                  <c:v>-3.6143822144298938</c:v>
                </c:pt>
                <c:pt idx="796">
                  <c:v>-3.6248165153182956</c:v>
                </c:pt>
                <c:pt idx="797">
                  <c:v>-3.635250822374597</c:v>
                </c:pt>
                <c:pt idx="798">
                  <c:v>-3.645685135598598</c:v>
                </c:pt>
                <c:pt idx="799">
                  <c:v>-3.6561194549900984</c:v>
                </c:pt>
                <c:pt idx="800">
                  <c:v>-3.6665537805488975</c:v>
                </c:pt>
                <c:pt idx="801">
                  <c:v>-3.6769881122747954</c:v>
                </c:pt>
                <c:pt idx="802">
                  <c:v>-3.6874224501675914</c:v>
                </c:pt>
                <c:pt idx="803">
                  <c:v>-3.6978567942270857</c:v>
                </c:pt>
                <c:pt idx="804">
                  <c:v>-3.7082911444530775</c:v>
                </c:pt>
                <c:pt idx="805">
                  <c:v>-3.718725500845367</c:v>
                </c:pt>
                <c:pt idx="806">
                  <c:v>-3.7291598634037539</c:v>
                </c:pt>
                <c:pt idx="807">
                  <c:v>-3.739594232128038</c:v>
                </c:pt>
                <c:pt idx="808">
                  <c:v>-3.7500286070180184</c:v>
                </c:pt>
                <c:pt idx="809">
                  <c:v>-3.7604629880734954</c:v>
                </c:pt>
                <c:pt idx="810">
                  <c:v>-3.7708973752942687</c:v>
                </c:pt>
                <c:pt idx="811">
                  <c:v>-3.781331768680138</c:v>
                </c:pt>
                <c:pt idx="812">
                  <c:v>-3.7917661682309034</c:v>
                </c:pt>
                <c:pt idx="813">
                  <c:v>-3.8022005739463642</c:v>
                </c:pt>
                <c:pt idx="814">
                  <c:v>-3.8126349858263202</c:v>
                </c:pt>
                <c:pt idx="815">
                  <c:v>-3.823069403870571</c:v>
                </c:pt>
                <c:pt idx="816">
                  <c:v>-3.8335038280789169</c:v>
                </c:pt>
                <c:pt idx="817">
                  <c:v>-3.8439382584511574</c:v>
                </c:pt>
                <c:pt idx="818">
                  <c:v>-3.854372694987092</c:v>
                </c:pt>
                <c:pt idx="819">
                  <c:v>-3.8648071376865207</c:v>
                </c:pt>
                <c:pt idx="820">
                  <c:v>-3.8752415865492433</c:v>
                </c:pt>
                <c:pt idx="821">
                  <c:v>-3.88567604157506</c:v>
                </c:pt>
                <c:pt idx="822">
                  <c:v>-3.8961105027637699</c:v>
                </c:pt>
                <c:pt idx="823">
                  <c:v>-3.9065449701151733</c:v>
                </c:pt>
                <c:pt idx="824">
                  <c:v>-3.9169794436290695</c:v>
                </c:pt>
                <c:pt idx="825">
                  <c:v>-3.9274139233052585</c:v>
                </c:pt>
                <c:pt idx="826">
                  <c:v>-3.9378484091435402</c:v>
                </c:pt>
                <c:pt idx="827">
                  <c:v>-3.9482829011437142</c:v>
                </c:pt>
                <c:pt idx="828">
                  <c:v>-3.9587173993055806</c:v>
                </c:pt>
                <c:pt idx="829">
                  <c:v>-3.9691519036289389</c:v>
                </c:pt>
                <c:pt idx="830">
                  <c:v>-3.979586414113589</c:v>
                </c:pt>
                <c:pt idx="831">
                  <c:v>-3.9900209307593308</c:v>
                </c:pt>
                <c:pt idx="832">
                  <c:v>-4.000455453565964</c:v>
                </c:pt>
                <c:pt idx="833">
                  <c:v>-4.0108899825332891</c:v>
                </c:pt>
                <c:pt idx="834">
                  <c:v>-4.021324517661105</c:v>
                </c:pt>
                <c:pt idx="835">
                  <c:v>-4.0317590589492118</c:v>
                </c:pt>
                <c:pt idx="836">
                  <c:v>-4.0421936063974098</c:v>
                </c:pt>
                <c:pt idx="837">
                  <c:v>-4.0526281600054981</c:v>
                </c:pt>
                <c:pt idx="838">
                  <c:v>-4.0630627197732769</c:v>
                </c:pt>
                <c:pt idx="839">
                  <c:v>-4.0734972857005456</c:v>
                </c:pt>
                <c:pt idx="840">
                  <c:v>-4.0839318577871042</c:v>
                </c:pt>
                <c:pt idx="841">
                  <c:v>-4.094366436032753</c:v>
                </c:pt>
                <c:pt idx="842">
                  <c:v>-4.104801020437292</c:v>
                </c:pt>
                <c:pt idx="843">
                  <c:v>-4.1152356110005206</c:v>
                </c:pt>
                <c:pt idx="844">
                  <c:v>-4.125670207722238</c:v>
                </c:pt>
                <c:pt idx="845">
                  <c:v>-4.1361048106022453</c:v>
                </c:pt>
                <c:pt idx="846">
                  <c:v>-4.1465394196403418</c:v>
                </c:pt>
                <c:pt idx="847">
                  <c:v>-4.1569740348363267</c:v>
                </c:pt>
                <c:pt idx="848">
                  <c:v>-4.167408656190001</c:v>
                </c:pt>
                <c:pt idx="849">
                  <c:v>-4.1778432837011641</c:v>
                </c:pt>
                <c:pt idx="850">
                  <c:v>-4.1882779173696161</c:v>
                </c:pt>
                <c:pt idx="851">
                  <c:v>-4.1987125571951562</c:v>
                </c:pt>
                <c:pt idx="852">
                  <c:v>-4.2091472031775847</c:v>
                </c:pt>
                <c:pt idx="853">
                  <c:v>-4.2195818553167017</c:v>
                </c:pt>
                <c:pt idx="854">
                  <c:v>-4.2300165136123065</c:v>
                </c:pt>
                <c:pt idx="855">
                  <c:v>-4.2404511780641991</c:v>
                </c:pt>
                <c:pt idx="856">
                  <c:v>-4.2508858486721799</c:v>
                </c:pt>
                <c:pt idx="857">
                  <c:v>-4.2613205254360489</c:v>
                </c:pt>
                <c:pt idx="858">
                  <c:v>-4.2717552083556054</c:v>
                </c:pt>
                <c:pt idx="859">
                  <c:v>-4.2821898974306496</c:v>
                </c:pt>
                <c:pt idx="860">
                  <c:v>-4.2926245926609807</c:v>
                </c:pt>
                <c:pt idx="861">
                  <c:v>-4.3030592940463999</c:v>
                </c:pt>
                <c:pt idx="862">
                  <c:v>-4.3134940015867063</c:v>
                </c:pt>
                <c:pt idx="863">
                  <c:v>-4.3239287152817001</c:v>
                </c:pt>
                <c:pt idx="864">
                  <c:v>-4.3343634351311806</c:v>
                </c:pt>
                <c:pt idx="865">
                  <c:v>-4.344798161134948</c:v>
                </c:pt>
                <c:pt idx="866">
                  <c:v>-4.3552328932928024</c:v>
                </c:pt>
                <c:pt idx="867">
                  <c:v>-4.365667631604544</c:v>
                </c:pt>
                <c:pt idx="868">
                  <c:v>-4.376102376069972</c:v>
                </c:pt>
                <c:pt idx="869">
                  <c:v>-4.3865371266888866</c:v>
                </c:pt>
                <c:pt idx="870">
                  <c:v>-4.396971883461088</c:v>
                </c:pt>
                <c:pt idx="871">
                  <c:v>-4.4074066463863764</c:v>
                </c:pt>
                <c:pt idx="872">
                  <c:v>-4.4178414154645509</c:v>
                </c:pt>
                <c:pt idx="873">
                  <c:v>-4.4282761906954118</c:v>
                </c:pt>
                <c:pt idx="874">
                  <c:v>-4.4387109720787592</c:v>
                </c:pt>
                <c:pt idx="875">
                  <c:v>-4.4491457596143933</c:v>
                </c:pt>
                <c:pt idx="876">
                  <c:v>-4.4595805533021133</c:v>
                </c:pt>
                <c:pt idx="877">
                  <c:v>-4.4700153531417195</c:v>
                </c:pt>
                <c:pt idx="878">
                  <c:v>-4.4804501591330119</c:v>
                </c:pt>
                <c:pt idx="879">
                  <c:v>-4.4908849712757908</c:v>
                </c:pt>
                <c:pt idx="880">
                  <c:v>-4.5013197895698553</c:v>
                </c:pt>
                <c:pt idx="881">
                  <c:v>-4.5117546140150058</c:v>
                </c:pt>
                <c:pt idx="882">
                  <c:v>-4.5221894446110422</c:v>
                </c:pt>
                <c:pt idx="883">
                  <c:v>-4.5326242813577649</c:v>
                </c:pt>
                <c:pt idx="884">
                  <c:v>-4.5430591242549738</c:v>
                </c:pt>
                <c:pt idx="885">
                  <c:v>-4.5534939733024684</c:v>
                </c:pt>
                <c:pt idx="886">
                  <c:v>-4.5639288285000488</c:v>
                </c:pt>
                <c:pt idx="887">
                  <c:v>-4.5743636898475151</c:v>
                </c:pt>
                <c:pt idx="888">
                  <c:v>-4.5847985573446675</c:v>
                </c:pt>
                <c:pt idx="889">
                  <c:v>-4.5952334309913061</c:v>
                </c:pt>
                <c:pt idx="890">
                  <c:v>-4.6056683107872303</c:v>
                </c:pt>
                <c:pt idx="891">
                  <c:v>-4.6161031967322401</c:v>
                </c:pt>
                <c:pt idx="892">
                  <c:v>-4.6265380888261358</c:v>
                </c:pt>
                <c:pt idx="893">
                  <c:v>-4.6369729870687175</c:v>
                </c:pt>
                <c:pt idx="894">
                  <c:v>-4.6474078914597854</c:v>
                </c:pt>
                <c:pt idx="895">
                  <c:v>-4.6578428019991387</c:v>
                </c:pt>
                <c:pt idx="896">
                  <c:v>-4.6682777186865776</c:v>
                </c:pt>
                <c:pt idx="897">
                  <c:v>-4.6787126415219022</c:v>
                </c:pt>
                <c:pt idx="898">
                  <c:v>-4.6891475705049128</c:v>
                </c:pt>
                <c:pt idx="899">
                  <c:v>-4.6995825056354095</c:v>
                </c:pt>
                <c:pt idx="900">
                  <c:v>-4.7100174469131924</c:v>
                </c:pt>
                <c:pt idx="901">
                  <c:v>-4.7204523943380607</c:v>
                </c:pt>
                <c:pt idx="902">
                  <c:v>-4.7308873479098157</c:v>
                </c:pt>
                <c:pt idx="903">
                  <c:v>-4.7413223076282565</c:v>
                </c:pt>
                <c:pt idx="904">
                  <c:v>-4.7517572734931832</c:v>
                </c:pt>
                <c:pt idx="905">
                  <c:v>-4.7621922455043961</c:v>
                </c:pt>
                <c:pt idx="906">
                  <c:v>-4.7726272236616953</c:v>
                </c:pt>
                <c:pt idx="907">
                  <c:v>-4.7830622079648801</c:v>
                </c:pt>
                <c:pt idx="908">
                  <c:v>-4.7934971984137515</c:v>
                </c:pt>
                <c:pt idx="909">
                  <c:v>-4.8039321950081089</c:v>
                </c:pt>
                <c:pt idx="910">
                  <c:v>-4.8143671977477522</c:v>
                </c:pt>
                <c:pt idx="911">
                  <c:v>-4.8248022066324818</c:v>
                </c:pt>
                <c:pt idx="912">
                  <c:v>-4.8352372216620978</c:v>
                </c:pt>
                <c:pt idx="913">
                  <c:v>-4.8456722428364003</c:v>
                </c:pt>
                <c:pt idx="914">
                  <c:v>-4.8561072701551895</c:v>
                </c:pt>
                <c:pt idx="915">
                  <c:v>-4.8665423036182656</c:v>
                </c:pt>
                <c:pt idx="916">
                  <c:v>-4.8769773432254278</c:v>
                </c:pt>
                <c:pt idx="917">
                  <c:v>-4.8874123889764771</c:v>
                </c:pt>
                <c:pt idx="918">
                  <c:v>-4.8978474408712129</c:v>
                </c:pt>
                <c:pt idx="919">
                  <c:v>-4.9082824989094354</c:v>
                </c:pt>
                <c:pt idx="920">
                  <c:v>-4.9187175630909445</c:v>
                </c:pt>
                <c:pt idx="921">
                  <c:v>-4.9291526334155416</c:v>
                </c:pt>
                <c:pt idx="922">
                  <c:v>-4.9395877098830256</c:v>
                </c:pt>
                <c:pt idx="923">
                  <c:v>-4.950022792493197</c:v>
                </c:pt>
                <c:pt idx="924">
                  <c:v>-4.9604578812458548</c:v>
                </c:pt>
                <c:pt idx="925">
                  <c:v>-4.9708929761408003</c:v>
                </c:pt>
                <c:pt idx="926">
                  <c:v>-4.9813280771778334</c:v>
                </c:pt>
                <c:pt idx="927">
                  <c:v>-4.9917631843567536</c:v>
                </c:pt>
                <c:pt idx="928">
                  <c:v>-5.0021982976773618</c:v>
                </c:pt>
                <c:pt idx="929">
                  <c:v>-5.0126334171394582</c:v>
                </c:pt>
                <c:pt idx="930">
                  <c:v>-5.0230685427428421</c:v>
                </c:pt>
                <c:pt idx="931">
                  <c:v>-5.0335036744873136</c:v>
                </c:pt>
                <c:pt idx="932">
                  <c:v>-5.0439388123726738</c:v>
                </c:pt>
                <c:pt idx="933">
                  <c:v>-5.054373956398722</c:v>
                </c:pt>
                <c:pt idx="934">
                  <c:v>-5.0648091065652583</c:v>
                </c:pt>
                <c:pt idx="935">
                  <c:v>-5.0752442628720837</c:v>
                </c:pt>
                <c:pt idx="936">
                  <c:v>-5.0856794253189976</c:v>
                </c:pt>
                <c:pt idx="937">
                  <c:v>-5.0961145939058001</c:v>
                </c:pt>
                <c:pt idx="938">
                  <c:v>-5.1065497686322914</c:v>
                </c:pt>
                <c:pt idx="939">
                  <c:v>-5.1169849494982715</c:v>
                </c:pt>
                <c:pt idx="940">
                  <c:v>-5.1274201365035408</c:v>
                </c:pt>
                <c:pt idx="941">
                  <c:v>-5.1378553296478993</c:v>
                </c:pt>
                <c:pt idx="942">
                  <c:v>-5.1482905289311471</c:v>
                </c:pt>
                <c:pt idx="943">
                  <c:v>-5.1587257343530846</c:v>
                </c:pt>
                <c:pt idx="944">
                  <c:v>-5.1691609459135117</c:v>
                </c:pt>
                <c:pt idx="945">
                  <c:v>-5.1795961636122287</c:v>
                </c:pt>
                <c:pt idx="946">
                  <c:v>-5.1900313874490358</c:v>
                </c:pt>
                <c:pt idx="947">
                  <c:v>-5.2004666174237331</c:v>
                </c:pt>
                <c:pt idx="948">
                  <c:v>-5.2109018535361207</c:v>
                </c:pt>
                <c:pt idx="949">
                  <c:v>-5.2213370957859997</c:v>
                </c:pt>
                <c:pt idx="950">
                  <c:v>-5.2317723441731694</c:v>
                </c:pt>
                <c:pt idx="951">
                  <c:v>-5.2422075986974299</c:v>
                </c:pt>
                <c:pt idx="952">
                  <c:v>-5.2526428593585814</c:v>
                </c:pt>
                <c:pt idx="953">
                  <c:v>-5.2630781261564241</c:v>
                </c:pt>
                <c:pt idx="954">
                  <c:v>-5.2735133990907581</c:v>
                </c:pt>
                <c:pt idx="955">
                  <c:v>-5.2839486781613836</c:v>
                </c:pt>
                <c:pt idx="956">
                  <c:v>-5.2943839633681007</c:v>
                </c:pt>
                <c:pt idx="957">
                  <c:v>-5.3048192547107096</c:v>
                </c:pt>
                <c:pt idx="958">
                  <c:v>-5.3152545521890113</c:v>
                </c:pt>
                <c:pt idx="959">
                  <c:v>-5.3256898558028052</c:v>
                </c:pt>
                <c:pt idx="960">
                  <c:v>-5.3361251655518913</c:v>
                </c:pt>
                <c:pt idx="961">
                  <c:v>-5.3465604814360708</c:v>
                </c:pt>
                <c:pt idx="962">
                  <c:v>-5.3569958034551428</c:v>
                </c:pt>
                <c:pt idx="963">
                  <c:v>-5.3674311316089085</c:v>
                </c:pt>
                <c:pt idx="964">
                  <c:v>-5.3778664658971671</c:v>
                </c:pt>
                <c:pt idx="965">
                  <c:v>-5.3883018063197197</c:v>
                </c:pt>
                <c:pt idx="966">
                  <c:v>-5.3987371528763655</c:v>
                </c:pt>
                <c:pt idx="967">
                  <c:v>-5.4091725055669055</c:v>
                </c:pt>
                <c:pt idx="968">
                  <c:v>-5.4196078643911401</c:v>
                </c:pt>
                <c:pt idx="969">
                  <c:v>-5.4300432293488692</c:v>
                </c:pt>
                <c:pt idx="970">
                  <c:v>-5.4404786004398931</c:v>
                </c:pt>
                <c:pt idx="971">
                  <c:v>-5.4509139776640119</c:v>
                </c:pt>
                <c:pt idx="972">
                  <c:v>-5.4613493610210258</c:v>
                </c:pt>
                <c:pt idx="973">
                  <c:v>-5.4717847505107349</c:v>
                </c:pt>
                <c:pt idx="974">
                  <c:v>-5.4822201461329403</c:v>
                </c:pt>
                <c:pt idx="975">
                  <c:v>-5.4926555478874413</c:v>
                </c:pt>
                <c:pt idx="976">
                  <c:v>-5.5030909557740388</c:v>
                </c:pt>
                <c:pt idx="977">
                  <c:v>-5.5135263697925323</c:v>
                </c:pt>
                <c:pt idx="978">
                  <c:v>-5.5239617899427227</c:v>
                </c:pt>
                <c:pt idx="979">
                  <c:v>-5.5343972162244102</c:v>
                </c:pt>
                <c:pt idx="980">
                  <c:v>-5.5448326486373949</c:v>
                </c:pt>
                <c:pt idx="981">
                  <c:v>-5.555268087181477</c:v>
                </c:pt>
                <c:pt idx="982">
                  <c:v>-5.5657035318564567</c:v>
                </c:pt>
                <c:pt idx="983">
                  <c:v>-5.5761389826621341</c:v>
                </c:pt>
                <c:pt idx="984">
                  <c:v>-5.5865744395983103</c:v>
                </c:pt>
                <c:pt idx="985">
                  <c:v>-5.5970099026647846</c:v>
                </c:pt>
                <c:pt idx="986">
                  <c:v>-5.6074453718613579</c:v>
                </c:pt>
                <c:pt idx="987">
                  <c:v>-5.6178808471878305</c:v>
                </c:pt>
                <c:pt idx="988">
                  <c:v>-5.6283163286440026</c:v>
                </c:pt>
                <c:pt idx="989">
                  <c:v>-5.6387518162296741</c:v>
                </c:pt>
                <c:pt idx="990">
                  <c:v>-5.6491873099446455</c:v>
                </c:pt>
                <c:pt idx="991">
                  <c:v>-5.6596228097887176</c:v>
                </c:pt>
                <c:pt idx="992">
                  <c:v>-5.6700583157616897</c:v>
                </c:pt>
                <c:pt idx="993">
                  <c:v>-5.680493827863363</c:v>
                </c:pt>
                <c:pt idx="994">
                  <c:v>-5.6909293460935375</c:v>
                </c:pt>
                <c:pt idx="995">
                  <c:v>-5.7013648704520135</c:v>
                </c:pt>
                <c:pt idx="996">
                  <c:v>-5.711800400938591</c:v>
                </c:pt>
                <c:pt idx="997">
                  <c:v>-5.7222359375530711</c:v>
                </c:pt>
                <c:pt idx="998">
                  <c:v>-5.7326714802952532</c:v>
                </c:pt>
                <c:pt idx="999">
                  <c:v>-5.7431070291649382</c:v>
                </c:pt>
                <c:pt idx="1000">
                  <c:v>-5.7535425841619263</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131.1551130355156</c:v>
                </c:pt>
                <c:pt idx="1">
                  <c:v>131.54043507181609</c:v>
                </c:pt>
                <c:pt idx="2">
                  <c:v>131.92632963716898</c:v>
                </c:pt>
                <c:pt idx="3">
                  <c:v>132.31352857081282</c:v>
                </c:pt>
                <c:pt idx="4">
                  <c:v>132.70216476305305</c:v>
                </c:pt>
                <c:pt idx="5">
                  <c:v>133.09211109009587</c:v>
                </c:pt>
                <c:pt idx="6">
                  <c:v>133.48331963409086</c:v>
                </c:pt>
                <c:pt idx="7">
                  <c:v>133.87578209569972</c:v>
                </c:pt>
                <c:pt idx="8">
                  <c:v>134.26949017083891</c:v>
                </c:pt>
                <c:pt idx="9">
                  <c:v>134.66443555094642</c:v>
                </c:pt>
                <c:pt idx="10">
                  <c:v>135.06060992324578</c:v>
                </c:pt>
                <c:pt idx="11">
                  <c:v>135.45800497100714</c:v>
                </c:pt>
                <c:pt idx="12">
                  <c:v>135.85661237380594</c:v>
                </c:pt>
                <c:pt idx="13">
                  <c:v>136.25642380777865</c:v>
                </c:pt>
                <c:pt idx="14">
                  <c:v>136.65743094587594</c:v>
                </c:pt>
                <c:pt idx="15">
                  <c:v>137.05962545811312</c:v>
                </c:pt>
                <c:pt idx="16">
                  <c:v>137.46299901181786</c:v>
                </c:pt>
                <c:pt idx="17">
                  <c:v>137.86754327187543</c:v>
                </c:pt>
                <c:pt idx="18">
                  <c:v>138.27324990097102</c:v>
                </c:pt>
                <c:pt idx="19">
                  <c:v>138.68011055982961</c:v>
                </c:pt>
                <c:pt idx="20">
                  <c:v>139.08811690745304</c:v>
                </c:pt>
                <c:pt idx="21">
                  <c:v>139.49726060135461</c:v>
                </c:pt>
                <c:pt idx="22">
                  <c:v>139.90753329779088</c:v>
                </c:pt>
                <c:pt idx="23">
                  <c:v>140.31892665199103</c:v>
                </c:pt>
                <c:pt idx="24">
                  <c:v>140.73143231838347</c:v>
                </c:pt>
                <c:pt idx="25">
                  <c:v>141.14504195081983</c:v>
                </c:pt>
                <c:pt idx="26">
                  <c:v>141.55974720279653</c:v>
                </c:pt>
                <c:pt idx="27">
                  <c:v>141.97553972767361</c:v>
                </c:pt>
                <c:pt idx="28">
                  <c:v>142.39241117889094</c:v>
                </c:pt>
                <c:pt idx="29">
                  <c:v>142.81035321018209</c:v>
                </c:pt>
                <c:pt idx="30">
                  <c:v>143.22935747578538</c:v>
                </c:pt>
                <c:pt idx="31">
                  <c:v>143.64941563065253</c:v>
                </c:pt>
                <c:pt idx="32">
                  <c:v>144.07051933065475</c:v>
                </c:pt>
                <c:pt idx="33">
                  <c:v>144.49266023278628</c:v>
                </c:pt>
                <c:pt idx="34">
                  <c:v>144.91582999536533</c:v>
                </c:pt>
                <c:pt idx="35">
                  <c:v>145.34002027823263</c:v>
                </c:pt>
                <c:pt idx="36">
                  <c:v>145.76522274294743</c:v>
                </c:pt>
                <c:pt idx="37">
                  <c:v>146.19142905298096</c:v>
                </c:pt>
                <c:pt idx="38">
                  <c:v>146.61863087390742</c:v>
                </c:pt>
                <c:pt idx="39">
                  <c:v>147.04681987359254</c:v>
                </c:pt>
                <c:pt idx="40">
                  <c:v>147.47598772237959</c:v>
                </c:pt>
                <c:pt idx="41">
                  <c:v>147.90612609327297</c:v>
                </c:pt>
                <c:pt idx="42">
                  <c:v>148.33722666211943</c:v>
                </c:pt>
                <c:pt idx="43">
                  <c:v>148.76928110778664</c:v>
                </c:pt>
                <c:pt idx="44">
                  <c:v>149.20228111233951</c:v>
                </c:pt>
                <c:pt idx="45">
                  <c:v>149.63621836121405</c:v>
                </c:pt>
                <c:pt idx="46">
                  <c:v>150.07108454338879</c:v>
                </c:pt>
                <c:pt idx="47">
                  <c:v>150.50687135155383</c:v>
                </c:pt>
                <c:pt idx="48">
                  <c:v>150.94357048227741</c:v>
                </c:pt>
                <c:pt idx="49">
                  <c:v>151.38117363617022</c:v>
                </c:pt>
                <c:pt idx="50">
                  <c:v>151.81967251804724</c:v>
                </c:pt>
                <c:pt idx="51">
                  <c:v>152.25905883708728</c:v>
                </c:pt>
                <c:pt idx="52">
                  <c:v>152.69932430699015</c:v>
                </c:pt>
                <c:pt idx="53">
                  <c:v>153.14046064613149</c:v>
                </c:pt>
                <c:pt idx="54">
                  <c:v>153.58245957771524</c:v>
                </c:pt>
                <c:pt idx="55">
                  <c:v>154.02531282992382</c:v>
                </c:pt>
                <c:pt idx="56">
                  <c:v>154.46901213606597</c:v>
                </c:pt>
                <c:pt idx="57">
                  <c:v>154.91354923472238</c:v>
                </c:pt>
                <c:pt idx="58">
                  <c:v>155.3589158698889</c:v>
                </c:pt>
                <c:pt idx="59">
                  <c:v>155.80510379111755</c:v>
                </c:pt>
                <c:pt idx="60">
                  <c:v>156.25210475365526</c:v>
                </c:pt>
                <c:pt idx="61">
                  <c:v>156.69991051858037</c:v>
                </c:pt>
                <c:pt idx="62">
                  <c:v>157.14851285293679</c:v>
                </c:pt>
                <c:pt idx="63">
                  <c:v>157.59789996128404</c:v>
                </c:pt>
                <c:pt idx="64">
                  <c:v>158.04805291750549</c:v>
                </c:pt>
                <c:pt idx="65">
                  <c:v>158.49894924008308</c:v>
                </c:pt>
                <c:pt idx="66">
                  <c:v>158.95056646730319</c:v>
                </c:pt>
                <c:pt idx="67">
                  <c:v>159.40287887903915</c:v>
                </c:pt>
                <c:pt idx="68">
                  <c:v>159.85585421913737</c:v>
                </c:pt>
                <c:pt idx="69">
                  <c:v>160.30945114324558</c:v>
                </c:pt>
                <c:pt idx="70">
                  <c:v>160.76361666794466</c:v>
                </c:pt>
                <c:pt idx="71">
                  <c:v>161.21829202270038</c:v>
                </c:pt>
                <c:pt idx="72">
                  <c:v>161.6734185008045</c:v>
                </c:pt>
                <c:pt idx="73">
                  <c:v>162.12893746163513</c:v>
                </c:pt>
                <c:pt idx="74">
                  <c:v>162.58479033282839</c:v>
                </c:pt>
                <c:pt idx="75">
                  <c:v>163.04091861236188</c:v>
                </c:pt>
                <c:pt idx="76">
                  <c:v>163.49726387055003</c:v>
                </c:pt>
                <c:pt idx="77">
                  <c:v>163.95376775195228</c:v>
                </c:pt>
                <c:pt idx="78">
                  <c:v>164.41037197719399</c:v>
                </c:pt>
                <c:pt idx="79">
                  <c:v>164.86701834470082</c:v>
                </c:pt>
                <c:pt idx="80">
                  <c:v>165.32364873234695</c:v>
                </c:pt>
                <c:pt idx="81">
                  <c:v>165.78021209043138</c:v>
                </c:pt>
                <c:pt idx="82">
                  <c:v>166.23667142866194</c:v>
                </c:pt>
                <c:pt idx="83">
                  <c:v>166.69299680499802</c:v>
                </c:pt>
                <c:pt idx="84">
                  <c:v>167.14915831977527</c:v>
                </c:pt>
                <c:pt idx="85">
                  <c:v>167.60512611587896</c:v>
                </c:pt>
                <c:pt idx="86">
                  <c:v>168.0608703788958</c:v>
                </c:pt>
                <c:pt idx="87">
                  <c:v>168.51636133724392</c:v>
                </c:pt>
                <c:pt idx="88">
                  <c:v>168.97156926228169</c:v>
                </c:pt>
                <c:pt idx="89">
                  <c:v>169.42646668721616</c:v>
                </c:pt>
                <c:pt idx="90">
                  <c:v>169.88103062383692</c:v>
                </c:pt>
                <c:pt idx="91">
                  <c:v>170.33524033672509</c:v>
                </c:pt>
                <c:pt idx="92">
                  <c:v>170.78907511954225</c:v>
                </c:pt>
                <c:pt idx="93">
                  <c:v>171.24251485096084</c:v>
                </c:pt>
                <c:pt idx="94">
                  <c:v>171.69554055002618</c:v>
                </c:pt>
                <c:pt idx="95">
                  <c:v>172.14813381823743</c:v>
                </c:pt>
                <c:pt idx="96">
                  <c:v>172.60027628217395</c:v>
                </c:pt>
                <c:pt idx="97">
                  <c:v>173.0519518226458</c:v>
                </c:pt>
                <c:pt idx="98">
                  <c:v>173.50314880154164</c:v>
                </c:pt>
                <c:pt idx="99">
                  <c:v>173.95385782522129</c:v>
                </c:pt>
                <c:pt idx="100">
                  <c:v>174.404069510216</c:v>
                </c:pt>
                <c:pt idx="101">
                  <c:v>174.85377448309956</c:v>
                </c:pt>
                <c:pt idx="102">
                  <c:v>175.30296338035768</c:v>
                </c:pt>
                <c:pt idx="103">
                  <c:v>175.751626848256</c:v>
                </c:pt>
                <c:pt idx="104">
                  <c:v>176.19975554270613</c:v>
                </c:pt>
                <c:pt idx="105">
                  <c:v>176.64734012913038</c:v>
                </c:pt>
                <c:pt idx="106">
                  <c:v>177.09437128232463</c:v>
                </c:pt>
                <c:pt idx="107">
                  <c:v>177.54083968631966</c:v>
                </c:pt>
                <c:pt idx="108">
                  <c:v>177.98673603424092</c:v>
                </c:pt>
                <c:pt idx="109">
                  <c:v>178.43205383395684</c:v>
                </c:pt>
                <c:pt idx="110">
                  <c:v>178.87679221086907</c:v>
                </c:pt>
                <c:pt idx="111">
                  <c:v>179.32095309314826</c:v>
                </c:pt>
                <c:pt idx="112">
                  <c:v>179.76453839992726</c:v>
                </c:pt>
                <c:pt idx="113">
                  <c:v>180.20755004135864</c:v>
                </c:pt>
                <c:pt idx="114">
                  <c:v>180.64998991867171</c:v>
                </c:pt>
                <c:pt idx="115">
                  <c:v>181.09185992422911</c:v>
                </c:pt>
                <c:pt idx="116">
                  <c:v>181.53316194158288</c:v>
                </c:pt>
                <c:pt idx="117">
                  <c:v>181.97389784553019</c:v>
                </c:pt>
                <c:pt idx="118">
                  <c:v>182.41406950216859</c:v>
                </c:pt>
                <c:pt idx="119">
                  <c:v>182.85367876895074</c:v>
                </c:pt>
                <c:pt idx="120">
                  <c:v>183.2927274947389</c:v>
                </c:pt>
                <c:pt idx="121">
                  <c:v>183.73121751985872</c:v>
                </c:pt>
                <c:pt idx="122">
                  <c:v>184.16915067615287</c:v>
                </c:pt>
                <c:pt idx="123">
                  <c:v>184.60652878703416</c:v>
                </c:pt>
                <c:pt idx="124">
                  <c:v>185.04335366753816</c:v>
                </c:pt>
                <c:pt idx="125">
                  <c:v>185.47962712437547</c:v>
                </c:pt>
                <c:pt idx="126">
                  <c:v>185.91535095598363</c:v>
                </c:pt>
                <c:pt idx="127">
                  <c:v>186.35052695257855</c:v>
                </c:pt>
                <c:pt idx="128">
                  <c:v>186.78515689620559</c:v>
                </c:pt>
                <c:pt idx="129">
                  <c:v>187.21924256079021</c:v>
                </c:pt>
                <c:pt idx="130">
                  <c:v>187.65278571218821</c:v>
                </c:pt>
                <c:pt idx="131">
                  <c:v>188.0857881082357</c:v>
                </c:pt>
                <c:pt idx="132">
                  <c:v>188.51825149879852</c:v>
                </c:pt>
                <c:pt idx="133">
                  <c:v>188.95017762582134</c:v>
                </c:pt>
                <c:pt idx="134">
                  <c:v>189.38156822337649</c:v>
                </c:pt>
                <c:pt idx="135">
                  <c:v>189.8124250177122</c:v>
                </c:pt>
                <c:pt idx="136">
                  <c:v>190.24274972730069</c:v>
                </c:pt>
                <c:pt idx="137">
                  <c:v>190.67254406288572</c:v>
                </c:pt>
                <c:pt idx="138">
                  <c:v>191.10180972752988</c:v>
                </c:pt>
                <c:pt idx="139">
                  <c:v>191.53054841666147</c:v>
                </c:pt>
                <c:pt idx="140">
                  <c:v>191.95876181812105</c:v>
                </c:pt>
                <c:pt idx="141">
                  <c:v>192.38645161220762</c:v>
                </c:pt>
                <c:pt idx="142">
                  <c:v>192.81361947172445</c:v>
                </c:pt>
                <c:pt idx="143">
                  <c:v>193.24026706202451</c:v>
                </c:pt>
                <c:pt idx="144">
                  <c:v>193.66639604105572</c:v>
                </c:pt>
                <c:pt idx="145">
                  <c:v>194.0920080594056</c:v>
                </c:pt>
                <c:pt idx="146">
                  <c:v>194.51710476034583</c:v>
                </c:pt>
                <c:pt idx="147">
                  <c:v>194.94168777987636</c:v>
                </c:pt>
                <c:pt idx="148">
                  <c:v>195.36575874676916</c:v>
                </c:pt>
                <c:pt idx="149">
                  <c:v>195.7893192826117</c:v>
                </c:pt>
                <c:pt idx="150">
                  <c:v>196.21237100185007</c:v>
                </c:pt>
                <c:pt idx="151">
                  <c:v>196.63491551183176</c:v>
                </c:pt>
                <c:pt idx="152">
                  <c:v>197.05695441284823</c:v>
                </c:pt>
                <c:pt idx="153">
                  <c:v>197.47848929817698</c:v>
                </c:pt>
                <c:pt idx="154">
                  <c:v>197.89952175412347</c:v>
                </c:pt>
                <c:pt idx="155">
                  <c:v>198.32005336006262</c:v>
                </c:pt>
                <c:pt idx="156">
                  <c:v>198.74008568848004</c:v>
                </c:pt>
                <c:pt idx="157">
                  <c:v>199.15962030501302</c:v>
                </c:pt>
                <c:pt idx="158">
                  <c:v>199.57865876849107</c:v>
                </c:pt>
                <c:pt idx="159">
                  <c:v>199.99720263097626</c:v>
                </c:pt>
                <c:pt idx="160">
                  <c:v>200.41525343780327</c:v>
                </c:pt>
                <c:pt idx="161">
                  <c:v>200.83281272761911</c:v>
                </c:pt>
                <c:pt idx="162">
                  <c:v>201.24988203242248</c:v>
                </c:pt>
                <c:pt idx="163">
                  <c:v>201.66646287760301</c:v>
                </c:pt>
                <c:pt idx="164">
                  <c:v>202.08255678198006</c:v>
                </c:pt>
                <c:pt idx="165">
                  <c:v>202.49816525784129</c:v>
                </c:pt>
                <c:pt idx="166">
                  <c:v>202.91328981098096</c:v>
                </c:pt>
                <c:pt idx="167">
                  <c:v>203.32793194073787</c:v>
                </c:pt>
                <c:pt idx="168">
                  <c:v>203.74209314003321</c:v>
                </c:pt>
                <c:pt idx="169">
                  <c:v>204.15577489540789</c:v>
                </c:pt>
                <c:pt idx="170">
                  <c:v>204.5689786870598</c:v>
                </c:pt>
                <c:pt idx="171">
                  <c:v>204.98170598888061</c:v>
                </c:pt>
                <c:pt idx="172">
                  <c:v>205.39395826849255</c:v>
                </c:pt>
                <c:pt idx="173">
                  <c:v>205.80573698728466</c:v>
                </c:pt>
                <c:pt idx="174">
                  <c:v>206.21704360044896</c:v>
                </c:pt>
                <c:pt idx="175">
                  <c:v>206.62787955701626</c:v>
                </c:pt>
                <c:pt idx="176">
                  <c:v>207.03824629989177</c:v>
                </c:pt>
                <c:pt idx="177">
                  <c:v>207.44814526589045</c:v>
                </c:pt>
                <c:pt idx="178">
                  <c:v>207.85757788577203</c:v>
                </c:pt>
                <c:pt idx="179">
                  <c:v>208.26654558427589</c:v>
                </c:pt>
                <c:pt idx="180">
                  <c:v>208.67504978015558</c:v>
                </c:pt>
                <c:pt idx="181">
                  <c:v>209.08309188621317</c:v>
                </c:pt>
                <c:pt idx="182">
                  <c:v>209.49067330933332</c:v>
                </c:pt>
                <c:pt idx="183">
                  <c:v>209.89779545051715</c:v>
                </c:pt>
                <c:pt idx="184">
                  <c:v>210.30445970491576</c:v>
                </c:pt>
                <c:pt idx="185">
                  <c:v>210.71066746186366</c:v>
                </c:pt>
                <c:pt idx="186">
                  <c:v>211.11642010491184</c:v>
                </c:pt>
                <c:pt idx="187">
                  <c:v>211.52171901186063</c:v>
                </c:pt>
                <c:pt idx="188">
                  <c:v>211.9265655547924</c:v>
                </c:pt>
                <c:pt idx="189">
                  <c:v>212.33096110010396</c:v>
                </c:pt>
                <c:pt idx="190">
                  <c:v>212.73490700853873</c:v>
                </c:pt>
                <c:pt idx="191">
                  <c:v>213.13840463521865</c:v>
                </c:pt>
                <c:pt idx="192">
                  <c:v>213.54145532967601</c:v>
                </c:pt>
                <c:pt idx="193">
                  <c:v>213.94406043588489</c:v>
                </c:pt>
                <c:pt idx="194">
                  <c:v>214.34622129229246</c:v>
                </c:pt>
                <c:pt idx="195">
                  <c:v>214.74793923185004</c:v>
                </c:pt>
                <c:pt idx="196">
                  <c:v>215.14921558204398</c:v>
                </c:pt>
                <c:pt idx="197">
                  <c:v>215.55005166492626</c:v>
                </c:pt>
                <c:pt idx="198">
                  <c:v>215.95044879714487</c:v>
                </c:pt>
                <c:pt idx="199">
                  <c:v>216.3504082899741</c:v>
                </c:pt>
                <c:pt idx="200">
                  <c:v>216.74993144934444</c:v>
                </c:pt>
                <c:pt idx="201">
                  <c:v>220.72126544097719</c:v>
                </c:pt>
                <c:pt idx="202">
                  <c:v>224.64980262884851</c:v>
                </c:pt>
                <c:pt idx="203">
                  <c:v>228.5368006064806</c:v>
                </c:pt>
                <c:pt idx="204">
                  <c:v>232.38346720717126</c:v>
                </c:pt>
                <c:pt idx="205">
                  <c:v>236.19096317416117</c:v>
                </c:pt>
                <c:pt idx="206">
                  <c:v>239.96040465358703</c:v>
                </c:pt>
                <c:pt idx="207">
                  <c:v>243.69286552420539</c:v>
                </c:pt>
                <c:pt idx="208">
                  <c:v>247.38937957659493</c:v>
                </c:pt>
                <c:pt idx="209">
                  <c:v>251.0509425534002</c:v>
                </c:pt>
                <c:pt idx="210">
                  <c:v>254.67851406115093</c:v>
                </c:pt>
                <c:pt idx="211">
                  <c:v>258.27301936326637</c:v>
                </c:pt>
                <c:pt idx="212">
                  <c:v>261.8353510630206</c:v>
                </c:pt>
                <c:pt idx="213">
                  <c:v>265.36637068449318</c:v>
                </c:pt>
                <c:pt idx="214">
                  <c:v>268.86691015885071</c:v>
                </c:pt>
                <c:pt idx="215">
                  <c:v>272.33777322269049</c:v>
                </c:pt>
                <c:pt idx="216">
                  <c:v>275.77973673462174</c:v>
                </c:pt>
                <c:pt idx="217">
                  <c:v>279.19355191575568</c:v>
                </c:pt>
                <c:pt idx="218">
                  <c:v>282.57994551931705</c:v>
                </c:pt>
                <c:pt idx="219">
                  <c:v>285.93962093417503</c:v>
                </c:pt>
                <c:pt idx="220">
                  <c:v>289.27325922671099</c:v>
                </c:pt>
                <c:pt idx="221">
                  <c:v>292.58152012509709</c:v>
                </c:pt>
                <c:pt idx="222">
                  <c:v>295.86504294974338</c:v>
                </c:pt>
                <c:pt idx="223">
                  <c:v>299.12444749338493</c:v>
                </c:pt>
                <c:pt idx="224">
                  <c:v>302.36033485401629</c:v>
                </c:pt>
                <c:pt idx="225">
                  <c:v>305.57328822364133</c:v>
                </c:pt>
                <c:pt idx="226">
                  <c:v>308.76387363558467</c:v>
                </c:pt>
                <c:pt idx="227">
                  <c:v>311.93264067290971</c:v>
                </c:pt>
                <c:pt idx="228">
                  <c:v>315.08012314030179</c:v>
                </c:pt>
                <c:pt idx="229">
                  <c:v>318.20683970160491</c:v>
                </c:pt>
                <c:pt idx="230">
                  <c:v>321.31329448504209</c:v>
                </c:pt>
                <c:pt idx="231">
                  <c:v>324.39997765800632</c:v>
                </c:pt>
                <c:pt idx="232">
                  <c:v>327.46736597317351</c:v>
                </c:pt>
                <c:pt idx="233">
                  <c:v>330.51592328756709</c:v>
                </c:pt>
                <c:pt idx="234">
                  <c:v>333.54610105608856</c:v>
                </c:pt>
                <c:pt idx="235">
                  <c:v>336.55833880092348</c:v>
                </c:pt>
                <c:pt idx="236">
                  <c:v>339.55306455813383</c:v>
                </c:pt>
                <c:pt idx="237">
                  <c:v>342.53069530265736</c:v>
                </c:pt>
                <c:pt idx="238">
                  <c:v>345.49163735284912</c:v>
                </c:pt>
                <c:pt idx="239">
                  <c:v>348.4362867556228</c:v>
                </c:pt>
                <c:pt idx="240">
                  <c:v>351.36502965317521</c:v>
                </c:pt>
                <c:pt idx="241">
                  <c:v>354.27824263220907</c:v>
                </c:pt>
                <c:pt idx="242">
                  <c:v>357.17629305650513</c:v>
                </c:pt>
                <c:pt idx="243">
                  <c:v>360.05953938363461</c:v>
                </c:pt>
                <c:pt idx="244">
                  <c:v>362.92833146654601</c:v>
                </c:pt>
                <c:pt idx="245">
                  <c:v>365.78301084070779</c:v>
                </c:pt>
                <c:pt idx="246">
                  <c:v>368.62391099743769</c:v>
                </c:pt>
                <c:pt idx="247">
                  <c:v>371.4513576440022</c:v>
                </c:pt>
                <c:pt idx="248">
                  <c:v>374.26566895102451</c:v>
                </c:pt>
                <c:pt idx="249">
                  <c:v>377.06715578769604</c:v>
                </c:pt>
                <c:pt idx="250">
                  <c:v>379.85612194524657</c:v>
                </c:pt>
                <c:pt idx="251">
                  <c:v>382.63286434908736</c:v>
                </c:pt>
                <c:pt idx="252">
                  <c:v>385.39767326000498</c:v>
                </c:pt>
                <c:pt idx="253">
                  <c:v>388.15083246474666</c:v>
                </c:pt>
                <c:pt idx="254">
                  <c:v>390.8926194563025</c:v>
                </c:pt>
                <c:pt idx="255">
                  <c:v>393.62330560415586</c:v>
                </c:pt>
                <c:pt idx="256">
                  <c:v>396.34315631473942</c:v>
                </c:pt>
                <c:pt idx="257">
                  <c:v>399.05243118230163</c:v>
                </c:pt>
                <c:pt idx="258">
                  <c:v>401.75138413035609</c:v>
                </c:pt>
                <c:pt idx="259">
                  <c:v>404.44026354385426</c:v>
                </c:pt>
                <c:pt idx="260">
                  <c:v>407.11931239219098</c:v>
                </c:pt>
                <c:pt idx="261">
                  <c:v>409.78876834312001</c:v>
                </c:pt>
                <c:pt idx="262">
                  <c:v>412.44886386762721</c:v>
                </c:pt>
                <c:pt idx="263">
                  <c:v>415.09982633577721</c:v>
                </c:pt>
                <c:pt idx="264">
                  <c:v>417.74187810351981</c:v>
                </c:pt>
                <c:pt idx="265">
                  <c:v>420.37523659041216</c:v>
                </c:pt>
                <c:pt idx="266">
                  <c:v>423.00011434818322</c:v>
                </c:pt>
                <c:pt idx="267">
                  <c:v>425.61671912003868</c:v>
                </c:pt>
                <c:pt idx="268">
                  <c:v>428.22525389057716</c:v>
                </c:pt>
                <c:pt idx="269">
                  <c:v>430.82591692616262</c:v>
                </c:pt>
                <c:pt idx="270">
                  <c:v>433.41890180557374</c:v>
                </c:pt>
                <c:pt idx="271">
                  <c:v>436.00439744073111</c:v>
                </c:pt>
                <c:pt idx="272">
                  <c:v>438.58258808728488</c:v>
                </c:pt>
                <c:pt idx="273">
                  <c:v>441.15365334483482</c:v>
                </c:pt>
                <c:pt idx="274">
                  <c:v>443.71776814654748</c:v>
                </c:pt>
                <c:pt idx="275">
                  <c:v>446.27510273793825</c:v>
                </c:pt>
                <c:pt idx="276">
                  <c:v>448.82582264459779</c:v>
                </c:pt>
                <c:pt idx="277">
                  <c:v>451.37008862866662</c:v>
                </c:pt>
                <c:pt idx="278">
                  <c:v>453.90805663390029</c:v>
                </c:pt>
                <c:pt idx="279">
                  <c:v>456.43987771922394</c:v>
                </c:pt>
                <c:pt idx="280">
                  <c:v>458.96569798075319</c:v>
                </c:pt>
                <c:pt idx="281">
                  <c:v>461.48565846235715</c:v>
                </c:pt>
                <c:pt idx="282">
                  <c:v>463.99989505497024</c:v>
                </c:pt>
                <c:pt idx="283">
                  <c:v>466.50853838501558</c:v>
                </c:pt>
                <c:pt idx="284">
                  <c:v>469.01171369249482</c:v>
                </c:pt>
                <c:pt idx="285">
                  <c:v>471.50954069952513</c:v>
                </c:pt>
                <c:pt idx="286">
                  <c:v>474.00213347036265</c:v>
                </c:pt>
                <c:pt idx="287">
                  <c:v>476.48960026424618</c:v>
                </c:pt>
                <c:pt idx="288">
                  <c:v>478.97204338271513</c:v>
                </c:pt>
                <c:pt idx="289">
                  <c:v>481.44955901339995</c:v>
                </c:pt>
                <c:pt idx="290">
                  <c:v>483.92223707263588</c:v>
                </c:pt>
                <c:pt idx="291">
                  <c:v>486.3901610496016</c:v>
                </c:pt>
                <c:pt idx="292">
                  <c:v>488.85340785500983</c:v>
                </c:pt>
                <c:pt idx="293">
                  <c:v>491.31204767766087</c:v>
                </c:pt>
                <c:pt idx="294">
                  <c:v>493.76614385238219</c:v>
                </c:pt>
                <c:pt idx="295">
                  <c:v>496.2157527429984</c:v>
                </c:pt>
                <c:pt idx="296">
                  <c:v>498.66092364397997</c:v>
                </c:pt>
                <c:pt idx="297">
                  <c:v>501.10169870428678</c:v>
                </c:pt>
                <c:pt idx="298">
                  <c:v>503.53811287664576</c:v>
                </c:pt>
                <c:pt idx="299">
                  <c:v>505.970193895075</c:v>
                </c:pt>
                <c:pt idx="300">
                  <c:v>508.39796228290089</c:v>
                </c:pt>
                <c:pt idx="301">
                  <c:v>510.8214313928309</c:v>
                </c:pt>
                <c:pt idx="302">
                  <c:v>513.2406074798746</c:v>
                </c:pt>
                <c:pt idx="303">
                  <c:v>515.65548980708843</c:v>
                </c:pt>
                <c:pt idx="304">
                  <c:v>518.06607078330262</c:v>
                </c:pt>
                <c:pt idx="305">
                  <c:v>520.47233613121614</c:v>
                </c:pt>
                <c:pt idx="306">
                  <c:v>522.87426508355588</c:v>
                </c:pt>
                <c:pt idx="307">
                  <c:v>525.27183060442974</c:v>
                </c:pt>
                <c:pt idx="308">
                  <c:v>527.66499963257172</c:v>
                </c:pt>
                <c:pt idx="309">
                  <c:v>530.0537333429038</c:v>
                </c:pt>
                <c:pt idx="310">
                  <c:v>532.43798742270974</c:v>
                </c:pt>
                <c:pt idx="311">
                  <c:v>534.81771235873168</c:v>
                </c:pt>
                <c:pt idx="312">
                  <c:v>537.19285373163211</c:v>
                </c:pt>
                <c:pt idx="313">
                  <c:v>539.56335251449434</c:v>
                </c:pt>
                <c:pt idx="314">
                  <c:v>541.92914537233764</c:v>
                </c:pt>
                <c:pt idx="315">
                  <c:v>544.29016495996825</c:v>
                </c:pt>
                <c:pt idx="316">
                  <c:v>546.6463402158621</c:v>
                </c:pt>
                <c:pt idx="317">
                  <c:v>548.99759665014653</c:v>
                </c:pt>
                <c:pt idx="318">
                  <c:v>551.34385662511283</c:v>
                </c:pt>
                <c:pt idx="319">
                  <c:v>553.68503962703096</c:v>
                </c:pt>
                <c:pt idx="320">
                  <c:v>556.02106252834596</c:v>
                </c:pt>
                <c:pt idx="321">
                  <c:v>558.3518398396094</c:v>
                </c:pt>
                <c:pt idx="322">
                  <c:v>560.6772839507355</c:v>
                </c:pt>
                <c:pt idx="323">
                  <c:v>562.99730536137247</c:v>
                </c:pt>
                <c:pt idx="324">
                  <c:v>565.31181290034476</c:v>
                </c:pt>
                <c:pt idx="325">
                  <c:v>567.62071393425606</c:v>
                </c:pt>
                <c:pt idx="326">
                  <c:v>569.92391456544863</c:v>
                </c:pt>
                <c:pt idx="327">
                  <c:v>572.2213198195949</c:v>
                </c:pt>
                <c:pt idx="328">
                  <c:v>574.51283382325812</c:v>
                </c:pt>
                <c:pt idx="329">
                  <c:v>576.79835997179919</c:v>
                </c:pt>
                <c:pt idx="330">
                  <c:v>579.07780108803445</c:v>
                </c:pt>
                <c:pt idx="331">
                  <c:v>581.35105957206497</c:v>
                </c:pt>
                <c:pt idx="332">
                  <c:v>583.61803754270181</c:v>
                </c:pt>
                <c:pt idx="333">
                  <c:v>585.87863697091154</c:v>
                </c:pt>
                <c:pt idx="334">
                  <c:v>588.13275980569688</c:v>
                </c:pt>
                <c:pt idx="335">
                  <c:v>590.38030809281736</c:v>
                </c:pt>
                <c:pt idx="336">
                  <c:v>592.62118408673791</c:v>
                </c:pt>
                <c:pt idx="337">
                  <c:v>594.85529035617833</c:v>
                </c:pt>
                <c:pt idx="338">
                  <c:v>597.08252988361608</c:v>
                </c:pt>
                <c:pt idx="339">
                  <c:v>599.3028061590785</c:v>
                </c:pt>
                <c:pt idx="340">
                  <c:v>601.5160232685389</c:v>
                </c:pt>
                <c:pt idx="341">
                  <c:v>603.72208597721396</c:v>
                </c:pt>
                <c:pt idx="342">
                  <c:v>605.92089980803996</c:v>
                </c:pt>
                <c:pt idx="343">
                  <c:v>608.11237111558921</c:v>
                </c:pt>
                <c:pt idx="344">
                  <c:v>610.29640715566859</c:v>
                </c:pt>
                <c:pt idx="345">
                  <c:v>612.47291615082838</c:v>
                </c:pt>
                <c:pt idx="346">
                  <c:v>614.64180735199295</c:v>
                </c:pt>
                <c:pt idx="347">
                  <c:v>616.80299109640964</c:v>
                </c:pt>
                <c:pt idx="348">
                  <c:v>618.95637886210181</c:v>
                </c:pt>
                <c:pt idx="349">
                  <c:v>621.10188331899553</c:v>
                </c:pt>
                <c:pt idx="350">
                  <c:v>623.23941837688176</c:v>
                </c:pt>
                <c:pt idx="351">
                  <c:v>625.36889923036119</c:v>
                </c:pt>
                <c:pt idx="352">
                  <c:v>627.49024240091308</c:v>
                </c:pt>
                <c:pt idx="353">
                  <c:v>629.60336577621661</c:v>
                </c:pt>
                <c:pt idx="354">
                  <c:v>631.70818864684713</c:v>
                </c:pt>
                <c:pt idx="355">
                  <c:v>633.80463174046156</c:v>
                </c:pt>
                <c:pt idx="356">
                  <c:v>635.89261725357881</c:v>
                </c:pt>
                <c:pt idx="357">
                  <c:v>637.97206888105643</c:v>
                </c:pt>
                <c:pt idx="358">
                  <c:v>640.04291184335773</c:v>
                </c:pt>
                <c:pt idx="359">
                  <c:v>642.10507291169733</c:v>
                </c:pt>
                <c:pt idx="360">
                  <c:v>644.15848043115022</c:v>
                </c:pt>
                <c:pt idx="361">
                  <c:v>646.20306434180213</c:v>
                </c:pt>
                <c:pt idx="362">
                  <c:v>648.23875619801765</c:v>
                </c:pt>
                <c:pt idx="363">
                  <c:v>650.26548918589583</c:v>
                </c:pt>
                <c:pt idx="364">
                  <c:v>652.28319813898167</c:v>
                </c:pt>
                <c:pt idx="365">
                  <c:v>654.29181955229774</c:v>
                </c:pt>
                <c:pt idx="366">
                  <c:v>656.29129159475679</c:v>
                </c:pt>
                <c:pt idx="367">
                  <c:v>658.28155412001422</c:v>
                </c:pt>
                <c:pt idx="368">
                  <c:v>660.26254867581702</c:v>
                </c:pt>
                <c:pt idx="369">
                  <c:v>662.23421851190176</c:v>
                </c:pt>
                <c:pt idx="370">
                  <c:v>664.1965085864947</c:v>
                </c:pt>
                <c:pt idx="371">
                  <c:v>666.14936557146279</c:v>
                </c:pt>
                <c:pt idx="372">
                  <c:v>668.09273785616369</c:v>
                </c:pt>
                <c:pt idx="373">
                  <c:v>670.026575550041</c:v>
                </c:pt>
                <c:pt idx="374">
                  <c:v>671.95083048401</c:v>
                </c:pt>
                <c:pt idx="375">
                  <c:v>673.86545621067637</c:v>
                </c:pt>
                <c:pt idx="376">
                  <c:v>675.77040800342991</c:v>
                </c:pt>
                <c:pt idx="377">
                  <c:v>677.66564285445486</c:v>
                </c:pt>
                <c:pt idx="378">
                  <c:v>679.55111947169496</c:v>
                </c:pt>
                <c:pt idx="379">
                  <c:v>681.42679827481334</c:v>
                </c:pt>
                <c:pt idx="380">
                  <c:v>683.29264139018278</c:v>
                </c:pt>
                <c:pt idx="381">
                  <c:v>685.14861264494471</c:v>
                </c:pt>
                <c:pt idx="382">
                  <c:v>686.99467756017134</c:v>
                </c:pt>
                <c:pt idx="383">
                  <c:v>688.8308033431656</c:v>
                </c:pt>
                <c:pt idx="384">
                  <c:v>690.65695887893366</c:v>
                </c:pt>
                <c:pt idx="385">
                  <c:v>692.4731147208621</c:v>
                </c:pt>
                <c:pt idx="386">
                  <c:v>694.27924308063268</c:v>
                </c:pt>
                <c:pt idx="387">
                  <c:v>696.07531781740647</c:v>
                </c:pt>
                <c:pt idx="388">
                  <c:v>697.86131442630756</c:v>
                </c:pt>
                <c:pt idx="389">
                  <c:v>699.63721002623743</c:v>
                </c:pt>
                <c:pt idx="390">
                  <c:v>701.40298334704903</c:v>
                </c:pt>
                <c:pt idx="391">
                  <c:v>703.15861471610958</c:v>
                </c:pt>
                <c:pt idx="392">
                  <c:v>704.90408604428092</c:v>
                </c:pt>
                <c:pt idx="393">
                  <c:v>706.63938081134449</c:v>
                </c:pt>
                <c:pt idx="394">
                  <c:v>708.36448405089891</c:v>
                </c:pt>
                <c:pt idx="395">
                  <c:v>710.07938233475579</c:v>
                </c:pt>
                <c:pt idx="396">
                  <c:v>711.78406375686052</c:v>
                </c:pt>
                <c:pt idx="397">
                  <c:v>713.47851791676317</c:v>
                </c:pt>
                <c:pt idx="398">
                  <c:v>715.16273590266462</c:v>
                </c:pt>
                <c:pt idx="399">
                  <c:v>716.83671027406183</c:v>
                </c:pt>
                <c:pt idx="400">
                  <c:v>718.50043504401651</c:v>
                </c:pt>
                <c:pt idx="401">
                  <c:v>720.15390566107033</c:v>
                </c:pt>
                <c:pt idx="402">
                  <c:v>721.79711899082906</c:v>
                </c:pt>
                <c:pt idx="403">
                  <c:v>723.43007329723844</c:v>
                </c:pt>
                <c:pt idx="404">
                  <c:v>725.05276822357314</c:v>
                </c:pt>
                <c:pt idx="405">
                  <c:v>726.66520477315964</c:v>
                </c:pt>
                <c:pt idx="406">
                  <c:v>728.26738528985436</c:v>
                </c:pt>
                <c:pt idx="407">
                  <c:v>729.85931343829679</c:v>
                </c:pt>
                <c:pt idx="408">
                  <c:v>731.44099418395706</c:v>
                </c:pt>
                <c:pt idx="409">
                  <c:v>733.0124337729975</c:v>
                </c:pt>
                <c:pt idx="410">
                  <c:v>734.57363971196639</c:v>
                </c:pt>
                <c:pt idx="411">
                  <c:v>736.12462074734276</c:v>
                </c:pt>
                <c:pt idx="412">
                  <c:v>737.66538684494822</c:v>
                </c:pt>
                <c:pt idx="413">
                  <c:v>739.1959491692453</c:v>
                </c:pt>
                <c:pt idx="414">
                  <c:v>740.71632006253662</c:v>
                </c:pt>
                <c:pt idx="415">
                  <c:v>742.22651302408303</c:v>
                </c:pt>
                <c:pt idx="416">
                  <c:v>743.72654268915448</c:v>
                </c:pt>
                <c:pt idx="417">
                  <c:v>745.21642480803064</c:v>
                </c:pt>
                <c:pt idx="418">
                  <c:v>746.69617622496457</c:v>
                </c:pt>
                <c:pt idx="419">
                  <c:v>748.16581485712459</c:v>
                </c:pt>
                <c:pt idx="420">
                  <c:v>749.6253596735279</c:v>
                </c:pt>
                <c:pt idx="421">
                  <c:v>751.07483067397891</c:v>
                </c:pt>
                <c:pt idx="422">
                  <c:v>752.51424886802545</c:v>
                </c:pt>
                <c:pt idx="423">
                  <c:v>753.94363625394556</c:v>
                </c:pt>
                <c:pt idx="424">
                  <c:v>755.36301579777671</c:v>
                </c:pt>
                <c:pt idx="425">
                  <c:v>756.77241141239824</c:v>
                </c:pt>
                <c:pt idx="426">
                  <c:v>758.17184793667968</c:v>
                </c:pt>
                <c:pt idx="427">
                  <c:v>759.56135111470394</c:v>
                </c:pt>
                <c:pt idx="428">
                  <c:v>760.94094757507708</c:v>
                </c:pt>
                <c:pt idx="429">
                  <c:v>762.31066481033349</c:v>
                </c:pt>
                <c:pt idx="430">
                  <c:v>763.6705311564466</c:v>
                </c:pt>
                <c:pt idx="431">
                  <c:v>765.02057577245387</c:v>
                </c:pt>
                <c:pt idx="432">
                  <c:v>766.36082862020498</c:v>
                </c:pt>
                <c:pt idx="433">
                  <c:v>767.69132044424111</c:v>
                </c:pt>
                <c:pt idx="434">
                  <c:v>769.01208275181318</c:v>
                </c:pt>
                <c:pt idx="435">
                  <c:v>770.32314779304761</c:v>
                </c:pt>
                <c:pt idx="436">
                  <c:v>771.6245485412652</c:v>
                </c:pt>
                <c:pt idx="437">
                  <c:v>772.91631867346109</c:v>
                </c:pt>
                <c:pt idx="438">
                  <c:v>774.19849255095198</c:v>
                </c:pt>
                <c:pt idx="439">
                  <c:v>775.47110520019601</c:v>
                </c:pt>
                <c:pt idx="440">
                  <c:v>776.73419229379272</c:v>
                </c:pt>
                <c:pt idx="441">
                  <c:v>777.98779013166666</c:v>
                </c:pt>
                <c:pt idx="442">
                  <c:v>779.23193562244069</c:v>
                </c:pt>
                <c:pt idx="443">
                  <c:v>780.46666626500451</c:v>
                </c:pt>
                <c:pt idx="444">
                  <c:v>781.69202013028098</c:v>
                </c:pt>
                <c:pt idx="445">
                  <c:v>782.90803584319679</c:v>
                </c:pt>
                <c:pt idx="446">
                  <c:v>784.11475256485915</c:v>
                </c:pt>
                <c:pt idx="447">
                  <c:v>785.31220997494415</c:v>
                </c:pt>
                <c:pt idx="448">
                  <c:v>786.50044825429848</c:v>
                </c:pt>
                <c:pt idx="449">
                  <c:v>787.67950806775877</c:v>
                </c:pt>
                <c:pt idx="450">
                  <c:v>788.84943054719088</c:v>
                </c:pt>
                <c:pt idx="451">
                  <c:v>790.01025727475167</c:v>
                </c:pt>
                <c:pt idx="452">
                  <c:v>791.16203026637584</c:v>
                </c:pt>
                <c:pt idx="453">
                  <c:v>792.30479195548992</c:v>
                </c:pt>
                <c:pt idx="454">
                  <c:v>793.43858517695492</c:v>
                </c:pt>
                <c:pt idx="455">
                  <c:v>794.56345315123963</c:v>
                </c:pt>
                <c:pt idx="456">
                  <c:v>795.6794394688261</c:v>
                </c:pt>
                <c:pt idx="457">
                  <c:v>796.78658807484828</c:v>
                </c:pt>
                <c:pt idx="458">
                  <c:v>797.88494325396482</c:v>
                </c:pt>
                <c:pt idx="459">
                  <c:v>798.9745496154668</c:v>
                </c:pt>
                <c:pt idx="460">
                  <c:v>800.05545207862156</c:v>
                </c:pt>
                <c:pt idx="461">
                  <c:v>801.12769585825242</c:v>
                </c:pt>
                <c:pt idx="462">
                  <c:v>802.1913264505547</c:v>
                </c:pt>
                <c:pt idx="463">
                  <c:v>803.24638961914877</c:v>
                </c:pt>
                <c:pt idx="464">
                  <c:v>804.29293138136916</c:v>
                </c:pt>
                <c:pt idx="465">
                  <c:v>805.33099799479021</c:v>
                </c:pt>
                <c:pt idx="466">
                  <c:v>806.36063594398763</c:v>
                </c:pt>
                <c:pt idx="467">
                  <c:v>807.38189192753555</c:v>
                </c:pt>
                <c:pt idx="468">
                  <c:v>808.39481284523811</c:v>
                </c:pt>
                <c:pt idx="469">
                  <c:v>809.39944578559562</c:v>
                </c:pt>
                <c:pt idx="470">
                  <c:v>810.39583801350364</c:v>
                </c:pt>
                <c:pt idx="471">
                  <c:v>811.38403695818386</c:v>
                </c:pt>
                <c:pt idx="472">
                  <c:v>812.3640902013467</c:v>
                </c:pt>
                <c:pt idx="473">
                  <c:v>813.33604546558342</c:v>
                </c:pt>
                <c:pt idx="474">
                  <c:v>814.29995060298643</c:v>
                </c:pt>
                <c:pt idx="475">
                  <c:v>815.25585358399701</c:v>
                </c:pt>
                <c:pt idx="476">
                  <c:v>816.20380248647871</c:v>
                </c:pt>
                <c:pt idx="477">
                  <c:v>817.1438454850138</c:v>
                </c:pt>
                <c:pt idx="478">
                  <c:v>818.07603084042307</c:v>
                </c:pt>
                <c:pt idx="479">
                  <c:v>819.00040688950526</c:v>
                </c:pt>
                <c:pt idx="480">
                  <c:v>819.91702203499517</c:v>
                </c:pt>
                <c:pt idx="481">
                  <c:v>820.82592473573891</c:v>
                </c:pt>
                <c:pt idx="482">
                  <c:v>821.7271634970831</c:v>
                </c:pt>
                <c:pt idx="483">
                  <c:v>822.62078686147743</c:v>
                </c:pt>
                <c:pt idx="484">
                  <c:v>823.50684339928705</c:v>
                </c:pt>
                <c:pt idx="485">
                  <c:v>824.38538169981382</c:v>
                </c:pt>
                <c:pt idx="486">
                  <c:v>825.25645036252365</c:v>
                </c:pt>
                <c:pt idx="487">
                  <c:v>826.12009798847737</c:v>
                </c:pt>
                <c:pt idx="488">
                  <c:v>826.97637317196347</c:v>
                </c:pt>
                <c:pt idx="489">
                  <c:v>827.8253244923302</c:v>
                </c:pt>
                <c:pt idx="490">
                  <c:v>828.66700050601457</c:v>
                </c:pt>
                <c:pt idx="491">
                  <c:v>829.50144973876525</c:v>
                </c:pt>
                <c:pt idx="492">
                  <c:v>830.32872067805829</c:v>
                </c:pt>
                <c:pt idx="493">
                  <c:v>831.14886176570212</c:v>
                </c:pt>
                <c:pt idx="494">
                  <c:v>831.96192139062953</c:v>
                </c:pt>
                <c:pt idx="495">
                  <c:v>832.76794788187408</c:v>
                </c:pt>
                <c:pt idx="496">
                  <c:v>833.56698950172938</c:v>
                </c:pt>
                <c:pt idx="497">
                  <c:v>834.35909443908702</c:v>
                </c:pt>
                <c:pt idx="498">
                  <c:v>835.14431080295185</c:v>
                </c:pt>
                <c:pt idx="499">
                  <c:v>835.92268661613173</c:v>
                </c:pt>
                <c:pt idx="500">
                  <c:v>836.69426980909907</c:v>
                </c:pt>
                <c:pt idx="501">
                  <c:v>837.45910821402163</c:v>
                </c:pt>
                <c:pt idx="502">
                  <c:v>838.21724955895991</c:v>
                </c:pt>
                <c:pt idx="503">
                  <c:v>838.96874146222888</c:v>
                </c:pt>
                <c:pt idx="504">
                  <c:v>839.7136314269211</c:v>
                </c:pt>
                <c:pt idx="505">
                  <c:v>839.7136314269211</c:v>
                </c:pt>
                <c:pt idx="506">
                  <c:v>839.7136314269211</c:v>
                </c:pt>
                <c:pt idx="507">
                  <c:v>839.7136314269211</c:v>
                </c:pt>
                <c:pt idx="508">
                  <c:v>839.7136314269211</c:v>
                </c:pt>
                <c:pt idx="509">
                  <c:v>839.7136314269211</c:v>
                </c:pt>
                <c:pt idx="510">
                  <c:v>839.7136314269211</c:v>
                </c:pt>
                <c:pt idx="511">
                  <c:v>839.7136314269211</c:v>
                </c:pt>
                <c:pt idx="512">
                  <c:v>839.7136314269211</c:v>
                </c:pt>
                <c:pt idx="513">
                  <c:v>839.7136314269211</c:v>
                </c:pt>
                <c:pt idx="514">
                  <c:v>839.7136314269211</c:v>
                </c:pt>
                <c:pt idx="515">
                  <c:v>839.7136314269211</c:v>
                </c:pt>
                <c:pt idx="516">
                  <c:v>839.7136314269211</c:v>
                </c:pt>
                <c:pt idx="517">
                  <c:v>839.7136314269211</c:v>
                </c:pt>
                <c:pt idx="518">
                  <c:v>839.7136314269211</c:v>
                </c:pt>
                <c:pt idx="519">
                  <c:v>839.7136314269211</c:v>
                </c:pt>
                <c:pt idx="520">
                  <c:v>839.7136314269211</c:v>
                </c:pt>
                <c:pt idx="521">
                  <c:v>839.7136314269211</c:v>
                </c:pt>
                <c:pt idx="522">
                  <c:v>839.7136314269211</c:v>
                </c:pt>
                <c:pt idx="523">
                  <c:v>839.7136314269211</c:v>
                </c:pt>
                <c:pt idx="524">
                  <c:v>839.7136314269211</c:v>
                </c:pt>
                <c:pt idx="525">
                  <c:v>839.7136314269211</c:v>
                </c:pt>
                <c:pt idx="526">
                  <c:v>839.7136314269211</c:v>
                </c:pt>
                <c:pt idx="527">
                  <c:v>839.7136314269211</c:v>
                </c:pt>
                <c:pt idx="528">
                  <c:v>839.7136314269211</c:v>
                </c:pt>
                <c:pt idx="529">
                  <c:v>839.7136314269211</c:v>
                </c:pt>
                <c:pt idx="530">
                  <c:v>839.7136314269211</c:v>
                </c:pt>
                <c:pt idx="531">
                  <c:v>839.7136314269211</c:v>
                </c:pt>
                <c:pt idx="532">
                  <c:v>839.7136314269211</c:v>
                </c:pt>
                <c:pt idx="533">
                  <c:v>839.7136314269211</c:v>
                </c:pt>
                <c:pt idx="534">
                  <c:v>839.7136314269211</c:v>
                </c:pt>
                <c:pt idx="535">
                  <c:v>839.7136314269211</c:v>
                </c:pt>
                <c:pt idx="536">
                  <c:v>839.7136314269211</c:v>
                </c:pt>
                <c:pt idx="537">
                  <c:v>839.7136314269211</c:v>
                </c:pt>
                <c:pt idx="538">
                  <c:v>839.7136314269211</c:v>
                </c:pt>
                <c:pt idx="539">
                  <c:v>839.7136314269211</c:v>
                </c:pt>
                <c:pt idx="540">
                  <c:v>839.7136314269211</c:v>
                </c:pt>
                <c:pt idx="541">
                  <c:v>839.7136314269211</c:v>
                </c:pt>
                <c:pt idx="542">
                  <c:v>839.7136314269211</c:v>
                </c:pt>
                <c:pt idx="543">
                  <c:v>839.7136314269211</c:v>
                </c:pt>
                <c:pt idx="544">
                  <c:v>839.7136314269211</c:v>
                </c:pt>
                <c:pt idx="545">
                  <c:v>839.7136314269211</c:v>
                </c:pt>
                <c:pt idx="546">
                  <c:v>839.7136314269211</c:v>
                </c:pt>
                <c:pt idx="547">
                  <c:v>839.7136314269211</c:v>
                </c:pt>
                <c:pt idx="548">
                  <c:v>839.7136314269211</c:v>
                </c:pt>
                <c:pt idx="549">
                  <c:v>839.7136314269211</c:v>
                </c:pt>
                <c:pt idx="550">
                  <c:v>839.7136314269211</c:v>
                </c:pt>
                <c:pt idx="551">
                  <c:v>839.7136314269211</c:v>
                </c:pt>
                <c:pt idx="552">
                  <c:v>839.7136314269211</c:v>
                </c:pt>
                <c:pt idx="553">
                  <c:v>839.7136314269211</c:v>
                </c:pt>
                <c:pt idx="554">
                  <c:v>839.7136314269211</c:v>
                </c:pt>
                <c:pt idx="555">
                  <c:v>839.7136314269211</c:v>
                </c:pt>
                <c:pt idx="556">
                  <c:v>839.7136314269211</c:v>
                </c:pt>
                <c:pt idx="557">
                  <c:v>839.7136314269211</c:v>
                </c:pt>
                <c:pt idx="558">
                  <c:v>839.7136314269211</c:v>
                </c:pt>
                <c:pt idx="559">
                  <c:v>839.7136314269211</c:v>
                </c:pt>
                <c:pt idx="560">
                  <c:v>839.7136314269211</c:v>
                </c:pt>
                <c:pt idx="561">
                  <c:v>839.7136314269211</c:v>
                </c:pt>
                <c:pt idx="562">
                  <c:v>839.7136314269211</c:v>
                </c:pt>
                <c:pt idx="563">
                  <c:v>839.7136314269211</c:v>
                </c:pt>
                <c:pt idx="564">
                  <c:v>839.7136314269211</c:v>
                </c:pt>
                <c:pt idx="565">
                  <c:v>839.7136314269211</c:v>
                </c:pt>
                <c:pt idx="566">
                  <c:v>839.7136314269211</c:v>
                </c:pt>
                <c:pt idx="567">
                  <c:v>839.7136314269211</c:v>
                </c:pt>
                <c:pt idx="568">
                  <c:v>839.7136314269211</c:v>
                </c:pt>
                <c:pt idx="569">
                  <c:v>839.7136314269211</c:v>
                </c:pt>
                <c:pt idx="570">
                  <c:v>839.7136314269211</c:v>
                </c:pt>
                <c:pt idx="571">
                  <c:v>839.7136314269211</c:v>
                </c:pt>
                <c:pt idx="572">
                  <c:v>839.7136314269211</c:v>
                </c:pt>
                <c:pt idx="573">
                  <c:v>839.7136314269211</c:v>
                </c:pt>
                <c:pt idx="574">
                  <c:v>839.7136314269211</c:v>
                </c:pt>
                <c:pt idx="575">
                  <c:v>839.7136314269211</c:v>
                </c:pt>
                <c:pt idx="576">
                  <c:v>839.7136314269211</c:v>
                </c:pt>
                <c:pt idx="577">
                  <c:v>839.7136314269211</c:v>
                </c:pt>
                <c:pt idx="578">
                  <c:v>839.7136314269211</c:v>
                </c:pt>
                <c:pt idx="579">
                  <c:v>839.7136314269211</c:v>
                </c:pt>
                <c:pt idx="580">
                  <c:v>839.7136314269211</c:v>
                </c:pt>
                <c:pt idx="581">
                  <c:v>839.7136314269211</c:v>
                </c:pt>
                <c:pt idx="582">
                  <c:v>839.7136314269211</c:v>
                </c:pt>
                <c:pt idx="583">
                  <c:v>839.7136314269211</c:v>
                </c:pt>
                <c:pt idx="584">
                  <c:v>839.7136314269211</c:v>
                </c:pt>
                <c:pt idx="585">
                  <c:v>839.7136314269211</c:v>
                </c:pt>
                <c:pt idx="586">
                  <c:v>839.7136314269211</c:v>
                </c:pt>
                <c:pt idx="587">
                  <c:v>839.7136314269211</c:v>
                </c:pt>
                <c:pt idx="588">
                  <c:v>839.7136314269211</c:v>
                </c:pt>
                <c:pt idx="589">
                  <c:v>839.7136314269211</c:v>
                </c:pt>
                <c:pt idx="590">
                  <c:v>839.7136314269211</c:v>
                </c:pt>
                <c:pt idx="591">
                  <c:v>839.7136314269211</c:v>
                </c:pt>
                <c:pt idx="592">
                  <c:v>839.7136314269211</c:v>
                </c:pt>
                <c:pt idx="593">
                  <c:v>839.7136314269211</c:v>
                </c:pt>
                <c:pt idx="594">
                  <c:v>839.7136314269211</c:v>
                </c:pt>
                <c:pt idx="595">
                  <c:v>839.7136314269211</c:v>
                </c:pt>
                <c:pt idx="596">
                  <c:v>839.7136314269211</c:v>
                </c:pt>
                <c:pt idx="597">
                  <c:v>839.7136314269211</c:v>
                </c:pt>
                <c:pt idx="598">
                  <c:v>839.7136314269211</c:v>
                </c:pt>
                <c:pt idx="599">
                  <c:v>839.7136314269211</c:v>
                </c:pt>
                <c:pt idx="600">
                  <c:v>839.7136314269211</c:v>
                </c:pt>
                <c:pt idx="601">
                  <c:v>839.7136314269211</c:v>
                </c:pt>
                <c:pt idx="602">
                  <c:v>839.7136314269211</c:v>
                </c:pt>
                <c:pt idx="603">
                  <c:v>839.7136314269211</c:v>
                </c:pt>
                <c:pt idx="604">
                  <c:v>839.7136314269211</c:v>
                </c:pt>
                <c:pt idx="605">
                  <c:v>839.7136314269211</c:v>
                </c:pt>
                <c:pt idx="606">
                  <c:v>839.7136314269211</c:v>
                </c:pt>
                <c:pt idx="607">
                  <c:v>839.7136314269211</c:v>
                </c:pt>
                <c:pt idx="608">
                  <c:v>839.7136314269211</c:v>
                </c:pt>
                <c:pt idx="609">
                  <c:v>839.7136314269211</c:v>
                </c:pt>
                <c:pt idx="610">
                  <c:v>839.7136314269211</c:v>
                </c:pt>
                <c:pt idx="611">
                  <c:v>839.7136314269211</c:v>
                </c:pt>
                <c:pt idx="612">
                  <c:v>839.7136314269211</c:v>
                </c:pt>
                <c:pt idx="613">
                  <c:v>839.7136314269211</c:v>
                </c:pt>
                <c:pt idx="614">
                  <c:v>839.7136314269211</c:v>
                </c:pt>
                <c:pt idx="615">
                  <c:v>839.7136314269211</c:v>
                </c:pt>
                <c:pt idx="616">
                  <c:v>839.7136314269211</c:v>
                </c:pt>
                <c:pt idx="617">
                  <c:v>839.7136314269211</c:v>
                </c:pt>
                <c:pt idx="618">
                  <c:v>839.7136314269211</c:v>
                </c:pt>
                <c:pt idx="619">
                  <c:v>839.7136314269211</c:v>
                </c:pt>
                <c:pt idx="620">
                  <c:v>839.7136314269211</c:v>
                </c:pt>
                <c:pt idx="621">
                  <c:v>839.7136314269211</c:v>
                </c:pt>
                <c:pt idx="622">
                  <c:v>839.7136314269211</c:v>
                </c:pt>
                <c:pt idx="623">
                  <c:v>839.7136314269211</c:v>
                </c:pt>
                <c:pt idx="624">
                  <c:v>839.7136314269211</c:v>
                </c:pt>
                <c:pt idx="625">
                  <c:v>839.7136314269211</c:v>
                </c:pt>
                <c:pt idx="626">
                  <c:v>839.7136314269211</c:v>
                </c:pt>
                <c:pt idx="627">
                  <c:v>839.7136314269211</c:v>
                </c:pt>
                <c:pt idx="628">
                  <c:v>839.7136314269211</c:v>
                </c:pt>
                <c:pt idx="629">
                  <c:v>839.7136314269211</c:v>
                </c:pt>
                <c:pt idx="630">
                  <c:v>839.7136314269211</c:v>
                </c:pt>
                <c:pt idx="631">
                  <c:v>839.7136314269211</c:v>
                </c:pt>
                <c:pt idx="632">
                  <c:v>839.7136314269211</c:v>
                </c:pt>
                <c:pt idx="633">
                  <c:v>839.7136314269211</c:v>
                </c:pt>
                <c:pt idx="634">
                  <c:v>839.7136314269211</c:v>
                </c:pt>
                <c:pt idx="635">
                  <c:v>839.7136314269211</c:v>
                </c:pt>
                <c:pt idx="636">
                  <c:v>839.7136314269211</c:v>
                </c:pt>
                <c:pt idx="637">
                  <c:v>839.7136314269211</c:v>
                </c:pt>
                <c:pt idx="638">
                  <c:v>839.7136314269211</c:v>
                </c:pt>
                <c:pt idx="639">
                  <c:v>839.7136314269211</c:v>
                </c:pt>
                <c:pt idx="640">
                  <c:v>839.7136314269211</c:v>
                </c:pt>
                <c:pt idx="641">
                  <c:v>839.7136314269211</c:v>
                </c:pt>
                <c:pt idx="642">
                  <c:v>839.7136314269211</c:v>
                </c:pt>
                <c:pt idx="643">
                  <c:v>839.7136314269211</c:v>
                </c:pt>
                <c:pt idx="644">
                  <c:v>839.7136314269211</c:v>
                </c:pt>
                <c:pt idx="645">
                  <c:v>839.7136314269211</c:v>
                </c:pt>
                <c:pt idx="646">
                  <c:v>839.7136314269211</c:v>
                </c:pt>
                <c:pt idx="647">
                  <c:v>839.7136314269211</c:v>
                </c:pt>
                <c:pt idx="648">
                  <c:v>839.7136314269211</c:v>
                </c:pt>
                <c:pt idx="649">
                  <c:v>839.7136314269211</c:v>
                </c:pt>
                <c:pt idx="650">
                  <c:v>839.7136314269211</c:v>
                </c:pt>
                <c:pt idx="651">
                  <c:v>839.7136314269211</c:v>
                </c:pt>
                <c:pt idx="652">
                  <c:v>839.7136314269211</c:v>
                </c:pt>
                <c:pt idx="653">
                  <c:v>839.7136314269211</c:v>
                </c:pt>
                <c:pt idx="654">
                  <c:v>839.7136314269211</c:v>
                </c:pt>
                <c:pt idx="655">
                  <c:v>839.7136314269211</c:v>
                </c:pt>
                <c:pt idx="656">
                  <c:v>839.7136314269211</c:v>
                </c:pt>
                <c:pt idx="657">
                  <c:v>839.7136314269211</c:v>
                </c:pt>
                <c:pt idx="658">
                  <c:v>839.7136314269211</c:v>
                </c:pt>
                <c:pt idx="659">
                  <c:v>839.7136314269211</c:v>
                </c:pt>
                <c:pt idx="660">
                  <c:v>839.7136314269211</c:v>
                </c:pt>
                <c:pt idx="661">
                  <c:v>839.7136314269211</c:v>
                </c:pt>
                <c:pt idx="662">
                  <c:v>839.7136314269211</c:v>
                </c:pt>
                <c:pt idx="663">
                  <c:v>839.7136314269211</c:v>
                </c:pt>
                <c:pt idx="664">
                  <c:v>839.7136314269211</c:v>
                </c:pt>
                <c:pt idx="665">
                  <c:v>839.7136314269211</c:v>
                </c:pt>
                <c:pt idx="666">
                  <c:v>839.7136314269211</c:v>
                </c:pt>
                <c:pt idx="667">
                  <c:v>839.7136314269211</c:v>
                </c:pt>
                <c:pt idx="668">
                  <c:v>839.7136314269211</c:v>
                </c:pt>
                <c:pt idx="669">
                  <c:v>839.7136314269211</c:v>
                </c:pt>
                <c:pt idx="670">
                  <c:v>839.7136314269211</c:v>
                </c:pt>
                <c:pt idx="671">
                  <c:v>839.7136314269211</c:v>
                </c:pt>
                <c:pt idx="672">
                  <c:v>839.7136314269211</c:v>
                </c:pt>
                <c:pt idx="673">
                  <c:v>839.7136314269211</c:v>
                </c:pt>
                <c:pt idx="674">
                  <c:v>839.7136314269211</c:v>
                </c:pt>
                <c:pt idx="675">
                  <c:v>839.7136314269211</c:v>
                </c:pt>
                <c:pt idx="676">
                  <c:v>839.7136314269211</c:v>
                </c:pt>
                <c:pt idx="677">
                  <c:v>839.7136314269211</c:v>
                </c:pt>
                <c:pt idx="678">
                  <c:v>839.7136314269211</c:v>
                </c:pt>
                <c:pt idx="679">
                  <c:v>839.7136314269211</c:v>
                </c:pt>
                <c:pt idx="680">
                  <c:v>839.7136314269211</c:v>
                </c:pt>
                <c:pt idx="681">
                  <c:v>839.7136314269211</c:v>
                </c:pt>
                <c:pt idx="682">
                  <c:v>839.7136314269211</c:v>
                </c:pt>
                <c:pt idx="683">
                  <c:v>839.7136314269211</c:v>
                </c:pt>
                <c:pt idx="684">
                  <c:v>839.7136314269211</c:v>
                </c:pt>
                <c:pt idx="685">
                  <c:v>839.7136314269211</c:v>
                </c:pt>
                <c:pt idx="686">
                  <c:v>839.7136314269211</c:v>
                </c:pt>
                <c:pt idx="687">
                  <c:v>839.7136314269211</c:v>
                </c:pt>
                <c:pt idx="688">
                  <c:v>839.7136314269211</c:v>
                </c:pt>
                <c:pt idx="689">
                  <c:v>839.7136314269211</c:v>
                </c:pt>
                <c:pt idx="690">
                  <c:v>839.7136314269211</c:v>
                </c:pt>
                <c:pt idx="691">
                  <c:v>839.7136314269211</c:v>
                </c:pt>
                <c:pt idx="692">
                  <c:v>839.7136314269211</c:v>
                </c:pt>
                <c:pt idx="693">
                  <c:v>839.7136314269211</c:v>
                </c:pt>
                <c:pt idx="694">
                  <c:v>839.7136314269211</c:v>
                </c:pt>
                <c:pt idx="695">
                  <c:v>839.7136314269211</c:v>
                </c:pt>
                <c:pt idx="696">
                  <c:v>839.7136314269211</c:v>
                </c:pt>
                <c:pt idx="697">
                  <c:v>839.7136314269211</c:v>
                </c:pt>
                <c:pt idx="698">
                  <c:v>839.7136314269211</c:v>
                </c:pt>
                <c:pt idx="699">
                  <c:v>839.7136314269211</c:v>
                </c:pt>
                <c:pt idx="700">
                  <c:v>839.7136314269211</c:v>
                </c:pt>
                <c:pt idx="701">
                  <c:v>839.7136314269211</c:v>
                </c:pt>
                <c:pt idx="702">
                  <c:v>839.7136314269211</c:v>
                </c:pt>
                <c:pt idx="703">
                  <c:v>839.7136314269211</c:v>
                </c:pt>
                <c:pt idx="704">
                  <c:v>839.7136314269211</c:v>
                </c:pt>
                <c:pt idx="705">
                  <c:v>839.7136314269211</c:v>
                </c:pt>
                <c:pt idx="706">
                  <c:v>839.7136314269211</c:v>
                </c:pt>
                <c:pt idx="707">
                  <c:v>839.7136314269211</c:v>
                </c:pt>
                <c:pt idx="708">
                  <c:v>839.7136314269211</c:v>
                </c:pt>
                <c:pt idx="709">
                  <c:v>839.7136314269211</c:v>
                </c:pt>
                <c:pt idx="710">
                  <c:v>839.7136314269211</c:v>
                </c:pt>
                <c:pt idx="711">
                  <c:v>839.7136314269211</c:v>
                </c:pt>
                <c:pt idx="712">
                  <c:v>839.7136314269211</c:v>
                </c:pt>
                <c:pt idx="713">
                  <c:v>839.7136314269211</c:v>
                </c:pt>
                <c:pt idx="714">
                  <c:v>839.7136314269211</c:v>
                </c:pt>
                <c:pt idx="715">
                  <c:v>839.7136314269211</c:v>
                </c:pt>
                <c:pt idx="716">
                  <c:v>839.7136314269211</c:v>
                </c:pt>
                <c:pt idx="717">
                  <c:v>839.7136314269211</c:v>
                </c:pt>
                <c:pt idx="718">
                  <c:v>839.7136314269211</c:v>
                </c:pt>
                <c:pt idx="719">
                  <c:v>839.7136314269211</c:v>
                </c:pt>
                <c:pt idx="720">
                  <c:v>839.7136314269211</c:v>
                </c:pt>
                <c:pt idx="721">
                  <c:v>839.7136314269211</c:v>
                </c:pt>
                <c:pt idx="722">
                  <c:v>839.7136314269211</c:v>
                </c:pt>
                <c:pt idx="723">
                  <c:v>839.7136314269211</c:v>
                </c:pt>
                <c:pt idx="724">
                  <c:v>839.7136314269211</c:v>
                </c:pt>
                <c:pt idx="725">
                  <c:v>839.7136314269211</c:v>
                </c:pt>
                <c:pt idx="726">
                  <c:v>839.7136314269211</c:v>
                </c:pt>
                <c:pt idx="727">
                  <c:v>839.7136314269211</c:v>
                </c:pt>
                <c:pt idx="728">
                  <c:v>839.7136314269211</c:v>
                </c:pt>
                <c:pt idx="729">
                  <c:v>839.7136314269211</c:v>
                </c:pt>
                <c:pt idx="730">
                  <c:v>839.7136314269211</c:v>
                </c:pt>
                <c:pt idx="731">
                  <c:v>839.7136314269211</c:v>
                </c:pt>
                <c:pt idx="732">
                  <c:v>839.7136314269211</c:v>
                </c:pt>
                <c:pt idx="733">
                  <c:v>839.7136314269211</c:v>
                </c:pt>
                <c:pt idx="734">
                  <c:v>839.7136314269211</c:v>
                </c:pt>
                <c:pt idx="735">
                  <c:v>839.7136314269211</c:v>
                </c:pt>
                <c:pt idx="736">
                  <c:v>839.7136314269211</c:v>
                </c:pt>
                <c:pt idx="737">
                  <c:v>839.7136314269211</c:v>
                </c:pt>
                <c:pt idx="738">
                  <c:v>839.7136314269211</c:v>
                </c:pt>
                <c:pt idx="739">
                  <c:v>839.7136314269211</c:v>
                </c:pt>
                <c:pt idx="740">
                  <c:v>839.7136314269211</c:v>
                </c:pt>
                <c:pt idx="741">
                  <c:v>839.7136314269211</c:v>
                </c:pt>
                <c:pt idx="742">
                  <c:v>839.7136314269211</c:v>
                </c:pt>
                <c:pt idx="743">
                  <c:v>839.7136314269211</c:v>
                </c:pt>
                <c:pt idx="744">
                  <c:v>839.7136314269211</c:v>
                </c:pt>
                <c:pt idx="745">
                  <c:v>839.7136314269211</c:v>
                </c:pt>
                <c:pt idx="746">
                  <c:v>839.7136314269211</c:v>
                </c:pt>
                <c:pt idx="747">
                  <c:v>839.7136314269211</c:v>
                </c:pt>
                <c:pt idx="748">
                  <c:v>839.7136314269211</c:v>
                </c:pt>
                <c:pt idx="749">
                  <c:v>839.7136314269211</c:v>
                </c:pt>
                <c:pt idx="750">
                  <c:v>839.7136314269211</c:v>
                </c:pt>
                <c:pt idx="751">
                  <c:v>839.7136314269211</c:v>
                </c:pt>
                <c:pt idx="752">
                  <c:v>839.7136314269211</c:v>
                </c:pt>
                <c:pt idx="753">
                  <c:v>839.7136314269211</c:v>
                </c:pt>
                <c:pt idx="754">
                  <c:v>839.7136314269211</c:v>
                </c:pt>
                <c:pt idx="755">
                  <c:v>839.7136314269211</c:v>
                </c:pt>
                <c:pt idx="756">
                  <c:v>839.7136314269211</c:v>
                </c:pt>
                <c:pt idx="757">
                  <c:v>839.7136314269211</c:v>
                </c:pt>
                <c:pt idx="758">
                  <c:v>839.7136314269211</c:v>
                </c:pt>
                <c:pt idx="759">
                  <c:v>839.7136314269211</c:v>
                </c:pt>
                <c:pt idx="760">
                  <c:v>839.7136314269211</c:v>
                </c:pt>
                <c:pt idx="761">
                  <c:v>839.7136314269211</c:v>
                </c:pt>
                <c:pt idx="762">
                  <c:v>839.7136314269211</c:v>
                </c:pt>
                <c:pt idx="763">
                  <c:v>839.7136314269211</c:v>
                </c:pt>
                <c:pt idx="764">
                  <c:v>839.7136314269211</c:v>
                </c:pt>
                <c:pt idx="765">
                  <c:v>839.7136314269211</c:v>
                </c:pt>
                <c:pt idx="766">
                  <c:v>839.7136314269211</c:v>
                </c:pt>
                <c:pt idx="767">
                  <c:v>839.7136314269211</c:v>
                </c:pt>
                <c:pt idx="768">
                  <c:v>839.7136314269211</c:v>
                </c:pt>
                <c:pt idx="769">
                  <c:v>839.7136314269211</c:v>
                </c:pt>
                <c:pt idx="770">
                  <c:v>839.7136314269211</c:v>
                </c:pt>
                <c:pt idx="771">
                  <c:v>839.7136314269211</c:v>
                </c:pt>
                <c:pt idx="772">
                  <c:v>839.7136314269211</c:v>
                </c:pt>
                <c:pt idx="773">
                  <c:v>839.7136314269211</c:v>
                </c:pt>
                <c:pt idx="774">
                  <c:v>839.7136314269211</c:v>
                </c:pt>
                <c:pt idx="775">
                  <c:v>839.7136314269211</c:v>
                </c:pt>
                <c:pt idx="776">
                  <c:v>839.7136314269211</c:v>
                </c:pt>
                <c:pt idx="777">
                  <c:v>839.7136314269211</c:v>
                </c:pt>
                <c:pt idx="778">
                  <c:v>839.7136314269211</c:v>
                </c:pt>
                <c:pt idx="779">
                  <c:v>839.7136314269211</c:v>
                </c:pt>
                <c:pt idx="780">
                  <c:v>839.7136314269211</c:v>
                </c:pt>
                <c:pt idx="781">
                  <c:v>839.7136314269211</c:v>
                </c:pt>
                <c:pt idx="782">
                  <c:v>839.7136314269211</c:v>
                </c:pt>
                <c:pt idx="783">
                  <c:v>839.7136314269211</c:v>
                </c:pt>
                <c:pt idx="784">
                  <c:v>839.7136314269211</c:v>
                </c:pt>
                <c:pt idx="785">
                  <c:v>839.7136314269211</c:v>
                </c:pt>
                <c:pt idx="786">
                  <c:v>839.7136314269211</c:v>
                </c:pt>
                <c:pt idx="787">
                  <c:v>839.7136314269211</c:v>
                </c:pt>
                <c:pt idx="788">
                  <c:v>839.7136314269211</c:v>
                </c:pt>
                <c:pt idx="789">
                  <c:v>839.7136314269211</c:v>
                </c:pt>
                <c:pt idx="790">
                  <c:v>839.7136314269211</c:v>
                </c:pt>
                <c:pt idx="791">
                  <c:v>839.7136314269211</c:v>
                </c:pt>
                <c:pt idx="792">
                  <c:v>839.7136314269211</c:v>
                </c:pt>
                <c:pt idx="793">
                  <c:v>839.7136314269211</c:v>
                </c:pt>
                <c:pt idx="794">
                  <c:v>839.7136314269211</c:v>
                </c:pt>
                <c:pt idx="795">
                  <c:v>839.7136314269211</c:v>
                </c:pt>
                <c:pt idx="796">
                  <c:v>839.7136314269211</c:v>
                </c:pt>
                <c:pt idx="797">
                  <c:v>839.7136314269211</c:v>
                </c:pt>
                <c:pt idx="798">
                  <c:v>839.7136314269211</c:v>
                </c:pt>
                <c:pt idx="799">
                  <c:v>839.7136314269211</c:v>
                </c:pt>
                <c:pt idx="800">
                  <c:v>839.7136314269211</c:v>
                </c:pt>
                <c:pt idx="801">
                  <c:v>839.7136314269211</c:v>
                </c:pt>
                <c:pt idx="802">
                  <c:v>839.7136314269211</c:v>
                </c:pt>
                <c:pt idx="803">
                  <c:v>839.7136314269211</c:v>
                </c:pt>
                <c:pt idx="804">
                  <c:v>839.7136314269211</c:v>
                </c:pt>
                <c:pt idx="805">
                  <c:v>839.7136314269211</c:v>
                </c:pt>
                <c:pt idx="806">
                  <c:v>839.7136314269211</c:v>
                </c:pt>
                <c:pt idx="807">
                  <c:v>839.7136314269211</c:v>
                </c:pt>
                <c:pt idx="808">
                  <c:v>839.7136314269211</c:v>
                </c:pt>
                <c:pt idx="809">
                  <c:v>839.7136314269211</c:v>
                </c:pt>
                <c:pt idx="810">
                  <c:v>839.7136314269211</c:v>
                </c:pt>
                <c:pt idx="811">
                  <c:v>839.7136314269211</c:v>
                </c:pt>
                <c:pt idx="812">
                  <c:v>839.7136314269211</c:v>
                </c:pt>
                <c:pt idx="813">
                  <c:v>839.7136314269211</c:v>
                </c:pt>
                <c:pt idx="814">
                  <c:v>839.7136314269211</c:v>
                </c:pt>
                <c:pt idx="815">
                  <c:v>839.7136314269211</c:v>
                </c:pt>
                <c:pt idx="816">
                  <c:v>839.7136314269211</c:v>
                </c:pt>
                <c:pt idx="817">
                  <c:v>839.7136314269211</c:v>
                </c:pt>
                <c:pt idx="818">
                  <c:v>839.7136314269211</c:v>
                </c:pt>
                <c:pt idx="819">
                  <c:v>839.7136314269211</c:v>
                </c:pt>
                <c:pt idx="820">
                  <c:v>839.7136314269211</c:v>
                </c:pt>
                <c:pt idx="821">
                  <c:v>839.7136314269211</c:v>
                </c:pt>
                <c:pt idx="822">
                  <c:v>839.7136314269211</c:v>
                </c:pt>
                <c:pt idx="823">
                  <c:v>839.7136314269211</c:v>
                </c:pt>
                <c:pt idx="824">
                  <c:v>839.7136314269211</c:v>
                </c:pt>
                <c:pt idx="825">
                  <c:v>839.7136314269211</c:v>
                </c:pt>
                <c:pt idx="826">
                  <c:v>839.7136314269211</c:v>
                </c:pt>
                <c:pt idx="827">
                  <c:v>839.7136314269211</c:v>
                </c:pt>
                <c:pt idx="828">
                  <c:v>839.7136314269211</c:v>
                </c:pt>
                <c:pt idx="829">
                  <c:v>839.7136314269211</c:v>
                </c:pt>
                <c:pt idx="830">
                  <c:v>839.7136314269211</c:v>
                </c:pt>
                <c:pt idx="831">
                  <c:v>839.7136314269211</c:v>
                </c:pt>
                <c:pt idx="832">
                  <c:v>839.7136314269211</c:v>
                </c:pt>
                <c:pt idx="833">
                  <c:v>839.7136314269211</c:v>
                </c:pt>
                <c:pt idx="834">
                  <c:v>839.7136314269211</c:v>
                </c:pt>
                <c:pt idx="835">
                  <c:v>839.7136314269211</c:v>
                </c:pt>
                <c:pt idx="836">
                  <c:v>839.7136314269211</c:v>
                </c:pt>
                <c:pt idx="837">
                  <c:v>839.7136314269211</c:v>
                </c:pt>
                <c:pt idx="838">
                  <c:v>839.7136314269211</c:v>
                </c:pt>
                <c:pt idx="839">
                  <c:v>839.7136314269211</c:v>
                </c:pt>
                <c:pt idx="840">
                  <c:v>839.7136314269211</c:v>
                </c:pt>
                <c:pt idx="841">
                  <c:v>839.7136314269211</c:v>
                </c:pt>
                <c:pt idx="842">
                  <c:v>839.7136314269211</c:v>
                </c:pt>
                <c:pt idx="843">
                  <c:v>839.7136314269211</c:v>
                </c:pt>
                <c:pt idx="844">
                  <c:v>839.7136314269211</c:v>
                </c:pt>
                <c:pt idx="845">
                  <c:v>839.7136314269211</c:v>
                </c:pt>
                <c:pt idx="846">
                  <c:v>839.7136314269211</c:v>
                </c:pt>
                <c:pt idx="847">
                  <c:v>839.7136314269211</c:v>
                </c:pt>
                <c:pt idx="848">
                  <c:v>839.7136314269211</c:v>
                </c:pt>
                <c:pt idx="849">
                  <c:v>839.7136314269211</c:v>
                </c:pt>
                <c:pt idx="850">
                  <c:v>839.7136314269211</c:v>
                </c:pt>
                <c:pt idx="851">
                  <c:v>839.7136314269211</c:v>
                </c:pt>
                <c:pt idx="852">
                  <c:v>839.7136314269211</c:v>
                </c:pt>
                <c:pt idx="853">
                  <c:v>839.7136314269211</c:v>
                </c:pt>
                <c:pt idx="854">
                  <c:v>839.7136314269211</c:v>
                </c:pt>
                <c:pt idx="855">
                  <c:v>839.7136314269211</c:v>
                </c:pt>
                <c:pt idx="856">
                  <c:v>839.7136314269211</c:v>
                </c:pt>
                <c:pt idx="857">
                  <c:v>839.7136314269211</c:v>
                </c:pt>
                <c:pt idx="858">
                  <c:v>839.7136314269211</c:v>
                </c:pt>
                <c:pt idx="859">
                  <c:v>839.7136314269211</c:v>
                </c:pt>
                <c:pt idx="860">
                  <c:v>839.7136314269211</c:v>
                </c:pt>
                <c:pt idx="861">
                  <c:v>839.7136314269211</c:v>
                </c:pt>
                <c:pt idx="862">
                  <c:v>839.7136314269211</c:v>
                </c:pt>
                <c:pt idx="863">
                  <c:v>839.7136314269211</c:v>
                </c:pt>
                <c:pt idx="864">
                  <c:v>839.7136314269211</c:v>
                </c:pt>
                <c:pt idx="865">
                  <c:v>839.7136314269211</c:v>
                </c:pt>
                <c:pt idx="866">
                  <c:v>839.7136314269211</c:v>
                </c:pt>
                <c:pt idx="867">
                  <c:v>839.7136314269211</c:v>
                </c:pt>
                <c:pt idx="868">
                  <c:v>839.7136314269211</c:v>
                </c:pt>
                <c:pt idx="869">
                  <c:v>839.7136314269211</c:v>
                </c:pt>
                <c:pt idx="870">
                  <c:v>839.7136314269211</c:v>
                </c:pt>
                <c:pt idx="871">
                  <c:v>839.7136314269211</c:v>
                </c:pt>
                <c:pt idx="872">
                  <c:v>839.7136314269211</c:v>
                </c:pt>
                <c:pt idx="873">
                  <c:v>839.7136314269211</c:v>
                </c:pt>
                <c:pt idx="874">
                  <c:v>839.7136314269211</c:v>
                </c:pt>
                <c:pt idx="875">
                  <c:v>839.7136314269211</c:v>
                </c:pt>
                <c:pt idx="876">
                  <c:v>839.7136314269211</c:v>
                </c:pt>
                <c:pt idx="877">
                  <c:v>839.7136314269211</c:v>
                </c:pt>
                <c:pt idx="878">
                  <c:v>839.7136314269211</c:v>
                </c:pt>
                <c:pt idx="879">
                  <c:v>839.7136314269211</c:v>
                </c:pt>
                <c:pt idx="880">
                  <c:v>839.7136314269211</c:v>
                </c:pt>
                <c:pt idx="881">
                  <c:v>839.7136314269211</c:v>
                </c:pt>
                <c:pt idx="882">
                  <c:v>839.7136314269211</c:v>
                </c:pt>
                <c:pt idx="883">
                  <c:v>839.7136314269211</c:v>
                </c:pt>
                <c:pt idx="884">
                  <c:v>839.7136314269211</c:v>
                </c:pt>
                <c:pt idx="885">
                  <c:v>839.7136314269211</c:v>
                </c:pt>
                <c:pt idx="886">
                  <c:v>839.7136314269211</c:v>
                </c:pt>
                <c:pt idx="887">
                  <c:v>839.7136314269211</c:v>
                </c:pt>
                <c:pt idx="888">
                  <c:v>839.7136314269211</c:v>
                </c:pt>
                <c:pt idx="889">
                  <c:v>839.7136314269211</c:v>
                </c:pt>
                <c:pt idx="890">
                  <c:v>839.7136314269211</c:v>
                </c:pt>
                <c:pt idx="891">
                  <c:v>839.7136314269211</c:v>
                </c:pt>
                <c:pt idx="892">
                  <c:v>839.7136314269211</c:v>
                </c:pt>
                <c:pt idx="893">
                  <c:v>839.7136314269211</c:v>
                </c:pt>
                <c:pt idx="894">
                  <c:v>839.7136314269211</c:v>
                </c:pt>
                <c:pt idx="895">
                  <c:v>839.7136314269211</c:v>
                </c:pt>
                <c:pt idx="896">
                  <c:v>839.7136314269211</c:v>
                </c:pt>
                <c:pt idx="897">
                  <c:v>839.7136314269211</c:v>
                </c:pt>
                <c:pt idx="898">
                  <c:v>839.7136314269211</c:v>
                </c:pt>
                <c:pt idx="899">
                  <c:v>839.7136314269211</c:v>
                </c:pt>
                <c:pt idx="900">
                  <c:v>839.7136314269211</c:v>
                </c:pt>
                <c:pt idx="901">
                  <c:v>839.7136314269211</c:v>
                </c:pt>
                <c:pt idx="902">
                  <c:v>839.7136314269211</c:v>
                </c:pt>
                <c:pt idx="903">
                  <c:v>839.7136314269211</c:v>
                </c:pt>
                <c:pt idx="904">
                  <c:v>839.7136314269211</c:v>
                </c:pt>
                <c:pt idx="905">
                  <c:v>839.7136314269211</c:v>
                </c:pt>
                <c:pt idx="906">
                  <c:v>839.7136314269211</c:v>
                </c:pt>
                <c:pt idx="907">
                  <c:v>839.7136314269211</c:v>
                </c:pt>
                <c:pt idx="908">
                  <c:v>839.7136314269211</c:v>
                </c:pt>
                <c:pt idx="909">
                  <c:v>839.7136314269211</c:v>
                </c:pt>
                <c:pt idx="910">
                  <c:v>839.7136314269211</c:v>
                </c:pt>
                <c:pt idx="911">
                  <c:v>839.7136314269211</c:v>
                </c:pt>
                <c:pt idx="912">
                  <c:v>839.7136314269211</c:v>
                </c:pt>
                <c:pt idx="913">
                  <c:v>839.7136314269211</c:v>
                </c:pt>
                <c:pt idx="914">
                  <c:v>839.7136314269211</c:v>
                </c:pt>
                <c:pt idx="915">
                  <c:v>839.7136314269211</c:v>
                </c:pt>
                <c:pt idx="916">
                  <c:v>839.7136314269211</c:v>
                </c:pt>
                <c:pt idx="917">
                  <c:v>839.7136314269211</c:v>
                </c:pt>
                <c:pt idx="918">
                  <c:v>839.7136314269211</c:v>
                </c:pt>
                <c:pt idx="919">
                  <c:v>839.7136314269211</c:v>
                </c:pt>
                <c:pt idx="920">
                  <c:v>839.7136314269211</c:v>
                </c:pt>
                <c:pt idx="921">
                  <c:v>839.7136314269211</c:v>
                </c:pt>
                <c:pt idx="922">
                  <c:v>839.7136314269211</c:v>
                </c:pt>
                <c:pt idx="923">
                  <c:v>839.7136314269211</c:v>
                </c:pt>
                <c:pt idx="924">
                  <c:v>839.7136314269211</c:v>
                </c:pt>
                <c:pt idx="925">
                  <c:v>839.7136314269211</c:v>
                </c:pt>
                <c:pt idx="926">
                  <c:v>839.7136314269211</c:v>
                </c:pt>
                <c:pt idx="927">
                  <c:v>839.7136314269211</c:v>
                </c:pt>
                <c:pt idx="928">
                  <c:v>839.7136314269211</c:v>
                </c:pt>
                <c:pt idx="929">
                  <c:v>839.7136314269211</c:v>
                </c:pt>
                <c:pt idx="930">
                  <c:v>839.7136314269211</c:v>
                </c:pt>
                <c:pt idx="931">
                  <c:v>839.7136314269211</c:v>
                </c:pt>
                <c:pt idx="932">
                  <c:v>839.7136314269211</c:v>
                </c:pt>
                <c:pt idx="933">
                  <c:v>839.7136314269211</c:v>
                </c:pt>
                <c:pt idx="934">
                  <c:v>839.7136314269211</c:v>
                </c:pt>
                <c:pt idx="935">
                  <c:v>839.7136314269211</c:v>
                </c:pt>
                <c:pt idx="936">
                  <c:v>839.7136314269211</c:v>
                </c:pt>
                <c:pt idx="937">
                  <c:v>839.7136314269211</c:v>
                </c:pt>
                <c:pt idx="938">
                  <c:v>839.7136314269211</c:v>
                </c:pt>
                <c:pt idx="939">
                  <c:v>839.7136314269211</c:v>
                </c:pt>
                <c:pt idx="940">
                  <c:v>839.7136314269211</c:v>
                </c:pt>
                <c:pt idx="941">
                  <c:v>839.7136314269211</c:v>
                </c:pt>
                <c:pt idx="942">
                  <c:v>839.7136314269211</c:v>
                </c:pt>
                <c:pt idx="943">
                  <c:v>839.7136314269211</c:v>
                </c:pt>
                <c:pt idx="944">
                  <c:v>839.7136314269211</c:v>
                </c:pt>
                <c:pt idx="945">
                  <c:v>839.7136314269211</c:v>
                </c:pt>
                <c:pt idx="946">
                  <c:v>839.7136314269211</c:v>
                </c:pt>
                <c:pt idx="947">
                  <c:v>839.7136314269211</c:v>
                </c:pt>
                <c:pt idx="948">
                  <c:v>839.7136314269211</c:v>
                </c:pt>
                <c:pt idx="949">
                  <c:v>839.7136314269211</c:v>
                </c:pt>
                <c:pt idx="950">
                  <c:v>839.7136314269211</c:v>
                </c:pt>
                <c:pt idx="951">
                  <c:v>839.7136314269211</c:v>
                </c:pt>
                <c:pt idx="952">
                  <c:v>839.7136314269211</c:v>
                </c:pt>
                <c:pt idx="953">
                  <c:v>839.7136314269211</c:v>
                </c:pt>
                <c:pt idx="954">
                  <c:v>839.7136314269211</c:v>
                </c:pt>
                <c:pt idx="955">
                  <c:v>839.7136314269211</c:v>
                </c:pt>
                <c:pt idx="956">
                  <c:v>839.7136314269211</c:v>
                </c:pt>
                <c:pt idx="957">
                  <c:v>839.7136314269211</c:v>
                </c:pt>
                <c:pt idx="958">
                  <c:v>839.7136314269211</c:v>
                </c:pt>
                <c:pt idx="959">
                  <c:v>839.7136314269211</c:v>
                </c:pt>
                <c:pt idx="960">
                  <c:v>839.7136314269211</c:v>
                </c:pt>
                <c:pt idx="961">
                  <c:v>839.7136314269211</c:v>
                </c:pt>
                <c:pt idx="962">
                  <c:v>839.7136314269211</c:v>
                </c:pt>
                <c:pt idx="963">
                  <c:v>839.7136314269211</c:v>
                </c:pt>
                <c:pt idx="964">
                  <c:v>839.7136314269211</c:v>
                </c:pt>
                <c:pt idx="965">
                  <c:v>839.7136314269211</c:v>
                </c:pt>
                <c:pt idx="966">
                  <c:v>839.7136314269211</c:v>
                </c:pt>
                <c:pt idx="967">
                  <c:v>839.7136314269211</c:v>
                </c:pt>
                <c:pt idx="968">
                  <c:v>839.7136314269211</c:v>
                </c:pt>
                <c:pt idx="969">
                  <c:v>839.7136314269211</c:v>
                </c:pt>
                <c:pt idx="970">
                  <c:v>839.7136314269211</c:v>
                </c:pt>
                <c:pt idx="971">
                  <c:v>839.7136314269211</c:v>
                </c:pt>
                <c:pt idx="972">
                  <c:v>839.7136314269211</c:v>
                </c:pt>
                <c:pt idx="973">
                  <c:v>839.7136314269211</c:v>
                </c:pt>
                <c:pt idx="974">
                  <c:v>839.7136314269211</c:v>
                </c:pt>
                <c:pt idx="975">
                  <c:v>839.7136314269211</c:v>
                </c:pt>
                <c:pt idx="976">
                  <c:v>839.7136314269211</c:v>
                </c:pt>
                <c:pt idx="977">
                  <c:v>839.7136314269211</c:v>
                </c:pt>
                <c:pt idx="978">
                  <c:v>839.7136314269211</c:v>
                </c:pt>
                <c:pt idx="979">
                  <c:v>839.7136314269211</c:v>
                </c:pt>
                <c:pt idx="980">
                  <c:v>839.7136314269211</c:v>
                </c:pt>
                <c:pt idx="981">
                  <c:v>839.7136314269211</c:v>
                </c:pt>
                <c:pt idx="982">
                  <c:v>839.7136314269211</c:v>
                </c:pt>
                <c:pt idx="983">
                  <c:v>839.7136314269211</c:v>
                </c:pt>
                <c:pt idx="984">
                  <c:v>839.7136314269211</c:v>
                </c:pt>
                <c:pt idx="985">
                  <c:v>839.7136314269211</c:v>
                </c:pt>
                <c:pt idx="986">
                  <c:v>839.7136314269211</c:v>
                </c:pt>
                <c:pt idx="987">
                  <c:v>839.7136314269211</c:v>
                </c:pt>
                <c:pt idx="988">
                  <c:v>839.7136314269211</c:v>
                </c:pt>
                <c:pt idx="989">
                  <c:v>839.7136314269211</c:v>
                </c:pt>
                <c:pt idx="990">
                  <c:v>839.7136314269211</c:v>
                </c:pt>
                <c:pt idx="991">
                  <c:v>839.7136314269211</c:v>
                </c:pt>
                <c:pt idx="992">
                  <c:v>839.7136314269211</c:v>
                </c:pt>
                <c:pt idx="993">
                  <c:v>839.7136314269211</c:v>
                </c:pt>
                <c:pt idx="994">
                  <c:v>839.7136314269211</c:v>
                </c:pt>
                <c:pt idx="995">
                  <c:v>839.7136314269211</c:v>
                </c:pt>
                <c:pt idx="996">
                  <c:v>839.7136314269211</c:v>
                </c:pt>
                <c:pt idx="997">
                  <c:v>839.7136314269211</c:v>
                </c:pt>
                <c:pt idx="998">
                  <c:v>839.7136314269211</c:v>
                </c:pt>
                <c:pt idx="999">
                  <c:v>839.7136314269211</c:v>
                </c:pt>
                <c:pt idx="1000">
                  <c:v>839.7136314269211</c:v>
                </c:pt>
              </c:numCache>
            </c:numRef>
          </c:xVal>
          <c:yVal>
            <c:numRef>
              <c:f>Calculs!$K$4:$K$1004</c:f>
              <c:numCache>
                <c:formatCode>0.00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1439.2960512198395</c:v>
                </c:pt>
                <c:pt idx="300">
                  <c:v>1439.220172805746</c:v>
                </c:pt>
                <c:pt idx="301">
                  <c:v>1439.0463287411173</c:v>
                </c:pt>
                <c:pt idx="302">
                  <c:v>1438.7746926797149</c:v>
                </c:pt>
                <c:pt idx="303">
                  <c:v>1438.405438861068</c:v>
                </c:pt>
                <c:pt idx="304">
                  <c:v>1437.9387429409912</c:v>
                </c:pt>
                <c:pt idx="305">
                  <c:v>1437.3747827973571</c:v>
                </c:pt>
                <c:pt idx="306">
                  <c:v>1436.7137393054052</c:v>
                </c:pt>
                <c:pt idx="307">
                  <c:v>1435.9557970775634</c:v>
                </c:pt>
                <c:pt idx="308">
                  <c:v>1435.1011451635734</c:v>
                </c:pt>
                <c:pt idx="309">
                  <c:v>1434.1499777075967</c:v>
                </c:pt>
                <c:pt idx="310">
                  <c:v>1433.1024945598904</c:v>
                </c:pt>
                <c:pt idx="311">
                  <c:v>1431.9589018415259</c:v>
                </c:pt>
                <c:pt idx="312">
                  <c:v>1430.7194124614621</c:v>
                </c:pt>
                <c:pt idx="313">
                  <c:v>1429.3842465860262</c:v>
                </c:pt>
                <c:pt idx="314">
                  <c:v>1427.9536320615039</c:v>
                </c:pt>
                <c:pt idx="315">
                  <c:v>1426.4278047910741</c:v>
                </c:pt>
                <c:pt idx="316">
                  <c:v>1424.8070090677443</c:v>
                </c:pt>
                <c:pt idx="317">
                  <c:v>1423.0914978652615</c:v>
                </c:pt>
                <c:pt idx="318">
                  <c:v>1421.2815330891883</c:v>
                </c:pt>
                <c:pt idx="319">
                  <c:v>1419.3773857904673</c:v>
                </c:pt>
                <c:pt idx="320">
                  <c:v>1417.3793363438613</c:v>
                </c:pt>
                <c:pt idx="321">
                  <c:v>1415.2876745936546</c:v>
                </c:pt>
                <c:pt idx="322">
                  <c:v>1413.1026999689614</c:v>
                </c:pt>
                <c:pt idx="323">
                  <c:v>1410.8247215709057</c:v>
                </c:pt>
                <c:pt idx="324">
                  <c:v>1408.45405823384</c:v>
                </c:pt>
                <c:pt idx="325">
                  <c:v>1405.9910385626465</c:v>
                </c:pt>
                <c:pt idx="326">
                  <c:v>1403.436000948042</c:v>
                </c:pt>
                <c:pt idx="327">
                  <c:v>1400.789293561673</c:v>
                </c:pt>
                <c:pt idx="328">
                  <c:v>1398.0512743326606</c:v>
                </c:pt>
                <c:pt idx="329">
                  <c:v>1395.222310907121</c:v>
                </c:pt>
                <c:pt idx="330">
                  <c:v>1392.3027805920738</c:v>
                </c:pt>
                <c:pt idx="331">
                  <c:v>1389.2930702850265</c:v>
                </c:pt>
                <c:pt idx="332">
                  <c:v>1386.1935763904235</c:v>
                </c:pt>
                <c:pt idx="333">
                  <c:v>1383.0047047240421</c:v>
                </c:pt>
                <c:pt idx="334">
                  <c:v>1379.7268704063308</c:v>
                </c:pt>
                <c:pt idx="335">
                  <c:v>1376.3604977455996</c:v>
                </c:pt>
                <c:pt idx="336">
                  <c:v>1372.9060201118973</c:v>
                </c:pt>
                <c:pt idx="337">
                  <c:v>1369.3638798023426</c:v>
                </c:pt>
                <c:pt idx="338">
                  <c:v>1365.7345278986102</c:v>
                </c:pt>
                <c:pt idx="339">
                  <c:v>1362.0184241172233</c:v>
                </c:pt>
                <c:pt idx="340">
                  <c:v>1358.2160366532491</c:v>
                </c:pt>
                <c:pt idx="341">
                  <c:v>1354.3278420179506</c:v>
                </c:pt>
                <c:pt idx="342">
                  <c:v>1350.3543248709061</c:v>
                </c:pt>
                <c:pt idx="343">
                  <c:v>1346.2959778470768</c:v>
                </c:pt>
                <c:pt idx="344">
                  <c:v>1342.1533013792621</c:v>
                </c:pt>
                <c:pt idx="345">
                  <c:v>1337.9268035163607</c:v>
                </c:pt>
                <c:pt idx="346">
                  <c:v>1333.6169997378242</c:v>
                </c:pt>
                <c:pt idx="347">
                  <c:v>1329.2244127646698</c:v>
                </c:pt>
                <c:pt idx="348">
                  <c:v>1324.7495723673933</c:v>
                </c:pt>
                <c:pt idx="349">
                  <c:v>1320.1930151711113</c:v>
                </c:pt>
                <c:pt idx="350">
                  <c:v>1315.5552844582342</c:v>
                </c:pt>
                <c:pt idx="351">
                  <c:v>1310.836929968965</c:v>
                </c:pt>
                <c:pt idx="352">
                  <c:v>1306.0385076998984</c:v>
                </c:pt>
                <c:pt idx="353">
                  <c:v>1301.1605797009843</c:v>
                </c:pt>
                <c:pt idx="354">
                  <c:v>1296.2037138711066</c:v>
                </c:pt>
                <c:pt idx="355">
                  <c:v>1291.1684837525172</c:v>
                </c:pt>
                <c:pt idx="356">
                  <c:v>1286.0554683243527</c:v>
                </c:pt>
                <c:pt idx="357">
                  <c:v>1280.8652517954565</c:v>
                </c:pt>
                <c:pt idx="358">
                  <c:v>1275.5984233967142</c:v>
                </c:pt>
                <c:pt idx="359">
                  <c:v>1270.2555771731047</c:v>
                </c:pt>
                <c:pt idx="360">
                  <c:v>1264.8373117756607</c:v>
                </c:pt>
                <c:pt idx="361">
                  <c:v>1259.3442302535261</c:v>
                </c:pt>
                <c:pt idx="362">
                  <c:v>1253.7769398462867</c:v>
                </c:pt>
                <c:pt idx="363">
                  <c:v>1248.1360517767473</c:v>
                </c:pt>
                <c:pt idx="364">
                  <c:v>1242.422181044321</c:v>
                </c:pt>
                <c:pt idx="365">
                  <c:v>1236.6359462191879</c:v>
                </c:pt>
                <c:pt idx="366">
                  <c:v>1230.7779692373767</c:v>
                </c:pt>
                <c:pt idx="367">
                  <c:v>1224.8488751969155</c:v>
                </c:pt>
                <c:pt idx="368">
                  <c:v>1218.8492921551917</c:v>
                </c:pt>
                <c:pt idx="369">
                  <c:v>1212.7798509276574</c:v>
                </c:pt>
                <c:pt idx="370">
                  <c:v>1206.641184888008</c:v>
                </c:pt>
                <c:pt idx="371">
                  <c:v>1200.4339297699594</c:v>
                </c:pt>
                <c:pt idx="372">
                  <c:v>1194.1587234707411</c:v>
                </c:pt>
                <c:pt idx="373">
                  <c:v>1187.8162058564199</c:v>
                </c:pt>
                <c:pt idx="374">
                  <c:v>1181.4070185691617</c:v>
                </c:pt>
                <c:pt idx="375">
                  <c:v>1174.9318048365344</c:v>
                </c:pt>
                <c:pt idx="376">
                  <c:v>1168.3912092829521</c:v>
                </c:pt>
                <c:pt idx="377">
                  <c:v>1161.7858777433516</c:v>
                </c:pt>
                <c:pt idx="378">
                  <c:v>1155.1164570791914</c:v>
                </c:pt>
                <c:pt idx="379">
                  <c:v>1148.3835949968575</c:v>
                </c:pt>
                <c:pt idx="380">
                  <c:v>1141.5879398685552</c:v>
                </c:pt>
                <c:pt idx="381">
                  <c:v>1134.7301405557605</c:v>
                </c:pt>
                <c:pt idx="382">
                  <c:v>1127.8108462353041</c:v>
                </c:pt>
                <c:pt idx="383">
                  <c:v>1120.830706228151</c:v>
                </c:pt>
                <c:pt idx="384">
                  <c:v>1113.790369830941</c:v>
                </c:pt>
                <c:pt idx="385">
                  <c:v>1106.6904861503438</c:v>
                </c:pt>
                <c:pt idx="386">
                  <c:v>1099.5317039402853</c:v>
                </c:pt>
                <c:pt idx="387">
                  <c:v>1092.314671442092</c:v>
                </c:pt>
                <c:pt idx="388">
                  <c:v>1085.0400362276005</c:v>
                </c:pt>
                <c:pt idx="389">
                  <c:v>1077.7084450452714</c:v>
                </c:pt>
                <c:pt idx="390">
                  <c:v>1070.3205436693479</c:v>
                </c:pt>
                <c:pt idx="391">
                  <c:v>1062.8769767520889</c:v>
                </c:pt>
                <c:pt idx="392">
                  <c:v>1055.3783876791113</c:v>
                </c:pt>
                <c:pt idx="393">
                  <c:v>1047.8254184278633</c:v>
                </c:pt>
                <c:pt idx="394">
                  <c:v>1040.2187094292551</c:v>
                </c:pt>
                <c:pt idx="395">
                  <c:v>1032.5588994324639</c:v>
                </c:pt>
                <c:pt idx="396">
                  <c:v>1024.8466253729314</c:v>
                </c:pt>
                <c:pt idx="397">
                  <c:v>1017.0825222435648</c:v>
                </c:pt>
                <c:pt idx="398">
                  <c:v>1009.2672229691525</c:v>
                </c:pt>
                <c:pt idx="399">
                  <c:v>1001.4013582840001</c:v>
                </c:pt>
                <c:pt idx="400">
                  <c:v>993.48555661279079</c:v>
                </c:pt>
                <c:pt idx="401">
                  <c:v>985.52044395467033</c:v>
                </c:pt>
                <c:pt idx="402">
                  <c:v>977.5066437705558</c:v>
                </c:pt>
                <c:pt idx="403">
                  <c:v>969.44477687366145</c:v>
                </c:pt>
                <c:pt idx="404">
                  <c:v>961.33546132323602</c:v>
                </c:pt>
                <c:pt idx="405">
                  <c:v>953.17931232150011</c:v>
                </c:pt>
                <c:pt idx="406">
                  <c:v>944.97694211377279</c:v>
                </c:pt>
                <c:pt idx="407">
                  <c:v>936.72895989177096</c:v>
                </c:pt>
                <c:pt idx="408">
                  <c:v>928.43597170006603</c:v>
                </c:pt>
                <c:pt idx="409">
                  <c:v>920.0985803456781</c:v>
                </c:pt>
                <c:pt idx="410">
                  <c:v>911.7173853107862</c:v>
                </c:pt>
                <c:pt idx="411">
                  <c:v>903.29298266853209</c:v>
                </c:pt>
                <c:pt idx="412">
                  <c:v>894.82596500189209</c:v>
                </c:pt>
                <c:pt idx="413">
                  <c:v>886.31692132558999</c:v>
                </c:pt>
                <c:pt idx="414">
                  <c:v>877.76643701102307</c:v>
                </c:pt>
                <c:pt idx="415">
                  <c:v>869.17509371417032</c:v>
                </c:pt>
                <c:pt idx="416">
                  <c:v>860.54346930645147</c:v>
                </c:pt>
                <c:pt idx="417">
                  <c:v>851.87213780850357</c:v>
                </c:pt>
                <c:pt idx="418">
                  <c:v>843.16166932684075</c:v>
                </c:pt>
                <c:pt idx="419">
                  <c:v>834.41262999336107</c:v>
                </c:pt>
                <c:pt idx="420">
                  <c:v>825.62558190766333</c:v>
                </c:pt>
                <c:pt idx="421">
                  <c:v>816.80108308213573</c:v>
                </c:pt>
                <c:pt idx="422">
                  <c:v>807.93968738977742</c:v>
                </c:pt>
                <c:pt idx="423">
                  <c:v>799.04194451471199</c:v>
                </c:pt>
                <c:pt idx="424">
                  <c:v>790.10839990535294</c:v>
                </c:pt>
                <c:pt idx="425">
                  <c:v>781.13959473017769</c:v>
                </c:pt>
                <c:pt idx="426">
                  <c:v>772.1360658360685</c:v>
                </c:pt>
                <c:pt idx="427">
                  <c:v>763.09834570917667</c:v>
                </c:pt>
                <c:pt idx="428">
                  <c:v>754.02696243826563</c:v>
                </c:pt>
                <c:pt idx="429">
                  <c:v>744.92243968048888</c:v>
                </c:pt>
                <c:pt idx="430">
                  <c:v>735.78529662955714</c:v>
                </c:pt>
                <c:pt idx="431">
                  <c:v>726.61604798624921</c:v>
                </c:pt>
                <c:pt idx="432">
                  <c:v>717.41520393122141</c:v>
                </c:pt>
                <c:pt idx="433">
                  <c:v>708.18327010006863</c:v>
                </c:pt>
                <c:pt idx="434">
                  <c:v>698.9207475605906</c:v>
                </c:pt>
                <c:pt idx="435">
                  <c:v>689.628132792217</c:v>
                </c:pt>
                <c:pt idx="436">
                  <c:v>680.30591766754446</c:v>
                </c:pt>
                <c:pt idx="437">
                  <c:v>670.95458943593871</c:v>
                </c:pt>
                <c:pt idx="438">
                  <c:v>661.57463070915435</c:v>
                </c:pt>
                <c:pt idx="439">
                  <c:v>652.16651944892635</c:v>
                </c:pt>
                <c:pt idx="440">
                  <c:v>642.73072895648477</c:v>
                </c:pt>
                <c:pt idx="441">
                  <c:v>633.26772786394758</c:v>
                </c:pt>
                <c:pt idx="442">
                  <c:v>623.77798012754374</c:v>
                </c:pt>
                <c:pt idx="443">
                  <c:v>614.26194502262013</c:v>
                </c:pt>
                <c:pt idx="444">
                  <c:v>604.72007714038614</c:v>
                </c:pt>
                <c:pt idx="445">
                  <c:v>595.15282638635051</c:v>
                </c:pt>
                <c:pt idx="446">
                  <c:v>585.5606379804027</c:v>
                </c:pt>
                <c:pt idx="447">
                  <c:v>575.94395245849546</c:v>
                </c:pt>
                <c:pt idx="448">
                  <c:v>566.30320567588183</c:v>
                </c:pt>
                <c:pt idx="449">
                  <c:v>556.63882881186225</c:v>
                </c:pt>
                <c:pt idx="450">
                  <c:v>546.95124837599792</c:v>
                </c:pt>
                <c:pt idx="451">
                  <c:v>537.24088621574526</c:v>
                </c:pt>
                <c:pt idx="452">
                  <c:v>527.50815952546861</c:v>
                </c:pt>
                <c:pt idx="453">
                  <c:v>517.75348085678797</c:v>
                </c:pt>
                <c:pt idx="454">
                  <c:v>507.97725813021935</c:v>
                </c:pt>
                <c:pt idx="455">
                  <c:v>498.17989464806493</c:v>
                </c:pt>
                <c:pt idx="456">
                  <c:v>488.3617891085122</c:v>
                </c:pt>
                <c:pt idx="457">
                  <c:v>478.52333562090058</c:v>
                </c:pt>
                <c:pt idx="458">
                  <c:v>468.66492372211525</c:v>
                </c:pt>
                <c:pt idx="459">
                  <c:v>458.78693839406816</c:v>
                </c:pt>
                <c:pt idx="460">
                  <c:v>448.88976008222699</c:v>
                </c:pt>
                <c:pt idx="461">
                  <c:v>438.97376471515321</c:v>
                </c:pt>
                <c:pt idx="462">
                  <c:v>429.03932372501146</c:v>
                </c:pt>
                <c:pt idx="463">
                  <c:v>419.08680406901209</c:v>
                </c:pt>
                <c:pt idx="464">
                  <c:v>409.11656825175083</c:v>
                </c:pt>
                <c:pt idx="465">
                  <c:v>399.12897434840892</c:v>
                </c:pt>
                <c:pt idx="466">
                  <c:v>389.12437602877787</c:v>
                </c:pt>
                <c:pt idx="467">
                  <c:v>379.10312258207466</c:v>
                </c:pt>
                <c:pt idx="468">
                  <c:v>369.06555894251233</c:v>
                </c:pt>
                <c:pt idx="469">
                  <c:v>359.01202571559298</c:v>
                </c:pt>
                <c:pt idx="470">
                  <c:v>348.9428592050898</c:v>
                </c:pt>
                <c:pt idx="471">
                  <c:v>338.85839144068603</c:v>
                </c:pt>
                <c:pt idx="472">
                  <c:v>328.75895020623932</c:v>
                </c:pt>
                <c:pt idx="473">
                  <c:v>318.64485906864041</c:v>
                </c:pt>
                <c:pt idx="474">
                  <c:v>308.51643740723568</c:v>
                </c:pt>
                <c:pt idx="475">
                  <c:v>298.3740004437845</c:v>
                </c:pt>
                <c:pt idx="476">
                  <c:v>288.21785927292183</c:v>
                </c:pt>
                <c:pt idx="477">
                  <c:v>278.04832089309809</c:v>
                </c:pt>
                <c:pt idx="478">
                  <c:v>267.86568823796875</c:v>
                </c:pt>
                <c:pt idx="479">
                  <c:v>257.6702602082064</c:v>
                </c:pt>
                <c:pt idx="480">
                  <c:v>247.46233170370914</c:v>
                </c:pt>
                <c:pt idx="481">
                  <c:v>237.24219365617978</c:v>
                </c:pt>
                <c:pt idx="482">
                  <c:v>227.01013306205047</c:v>
                </c:pt>
                <c:pt idx="483">
                  <c:v>216.76643301572869</c:v>
                </c:pt>
                <c:pt idx="484">
                  <c:v>206.51137274314075</c:v>
                </c:pt>
                <c:pt idx="485">
                  <c:v>196.24522763554955</c:v>
                </c:pt>
                <c:pt idx="486">
                  <c:v>185.96826928362444</c:v>
                </c:pt>
                <c:pt idx="487">
                  <c:v>175.68076551174082</c:v>
                </c:pt>
                <c:pt idx="488">
                  <c:v>165.38298041248873</c:v>
                </c:pt>
                <c:pt idx="489">
                  <c:v>155.07517438136935</c:v>
                </c:pt>
                <c:pt idx="490">
                  <c:v>144.75760415165956</c:v>
                </c:pt>
                <c:pt idx="491">
                  <c:v>134.43052282942494</c:v>
                </c:pt>
                <c:pt idx="492">
                  <c:v>124.09417992866238</c:v>
                </c:pt>
                <c:pt idx="493">
                  <c:v>113.74882140655403</c:v>
                </c:pt>
                <c:pt idx="494">
                  <c:v>103.39468969881452</c:v>
                </c:pt>
                <c:pt idx="495">
                  <c:v>93.032023755114636</c:v>
                </c:pt>
                <c:pt idx="496">
                  <c:v>82.661059074564406</c:v>
                </c:pt>
                <c:pt idx="497">
                  <c:v>72.282027741239631</c:v>
                </c:pt>
                <c:pt idx="498">
                  <c:v>61.895158459736237</c:v>
                </c:pt>
                <c:pt idx="499">
                  <c:v>51.500676590737307</c:v>
                </c:pt>
                <c:pt idx="500">
                  <c:v>41.098804186578192</c:v>
                </c:pt>
                <c:pt idx="501">
                  <c:v>30.689760026795661</c:v>
                </c:pt>
                <c:pt idx="502">
                  <c:v>20.273759653647403</c:v>
                </c:pt>
                <c:pt idx="503">
                  <c:v>9.8510154075888465</c:v>
                </c:pt>
                <c:pt idx="504">
                  <c:v>-0.57826353730539637</c:v>
                </c:pt>
                <c:pt idx="505">
                  <c:v>-0.58869603481298183</c:v>
                </c:pt>
                <c:pt idx="506">
                  <c:v>-0.59912853854687931</c:v>
                </c:pt>
                <c:pt idx="507">
                  <c:v>-0.60956104850688764</c:v>
                </c:pt>
                <c:pt idx="508">
                  <c:v>-0.61999356469280564</c:v>
                </c:pt>
                <c:pt idx="509">
                  <c:v>-0.63042608710443215</c:v>
                </c:pt>
                <c:pt idx="510">
                  <c:v>-0.640858615741566</c:v>
                </c:pt>
                <c:pt idx="511">
                  <c:v>-0.65129115060400611</c:v>
                </c:pt>
                <c:pt idx="512">
                  <c:v>-0.66172369169155121</c:v>
                </c:pt>
                <c:pt idx="513">
                  <c:v>-0.67215623900400023</c:v>
                </c:pt>
                <c:pt idx="514">
                  <c:v>-0.68258879254115201</c:v>
                </c:pt>
                <c:pt idx="515">
                  <c:v>-0.69302135230280548</c:v>
                </c:pt>
                <c:pt idx="516">
                  <c:v>-0.70345391828875936</c:v>
                </c:pt>
                <c:pt idx="517">
                  <c:v>-0.71388649049881259</c:v>
                </c:pt>
                <c:pt idx="518">
                  <c:v>-0.7243190689327641</c:v>
                </c:pt>
                <c:pt idx="519">
                  <c:v>-0.73475165359041261</c:v>
                </c:pt>
                <c:pt idx="520">
                  <c:v>-0.74518424447155707</c:v>
                </c:pt>
                <c:pt idx="521">
                  <c:v>-0.7556168415759964</c:v>
                </c:pt>
                <c:pt idx="522">
                  <c:v>-0.76604944490352944</c:v>
                </c:pt>
                <c:pt idx="523">
                  <c:v>-0.77648205445395502</c:v>
                </c:pt>
                <c:pt idx="524">
                  <c:v>-0.78691467022707207</c:v>
                </c:pt>
                <c:pt idx="525">
                  <c:v>-0.79734729222267953</c:v>
                </c:pt>
                <c:pt idx="526">
                  <c:v>-0.80777992044057623</c:v>
                </c:pt>
                <c:pt idx="527">
                  <c:v>-0.81821255488056099</c:v>
                </c:pt>
                <c:pt idx="528">
                  <c:v>-0.82864519554243277</c:v>
                </c:pt>
                <c:pt idx="529">
                  <c:v>-0.83907784242599048</c:v>
                </c:pt>
                <c:pt idx="530">
                  <c:v>-0.84951049553103308</c:v>
                </c:pt>
                <c:pt idx="531">
                  <c:v>-0.85994315485735939</c:v>
                </c:pt>
                <c:pt idx="532">
                  <c:v>-0.87037582040476835</c:v>
                </c:pt>
                <c:pt idx="533">
                  <c:v>-0.8808084921730589</c:v>
                </c:pt>
                <c:pt idx="534">
                  <c:v>-0.89124117016202986</c:v>
                </c:pt>
                <c:pt idx="535">
                  <c:v>-0.90167385437148018</c:v>
                </c:pt>
                <c:pt idx="536">
                  <c:v>-0.91210654480120879</c:v>
                </c:pt>
                <c:pt idx="537">
                  <c:v>-0.92253924145101462</c:v>
                </c:pt>
                <c:pt idx="538">
                  <c:v>-0.93297194432069663</c:v>
                </c:pt>
                <c:pt idx="539">
                  <c:v>-0.94340465341005375</c:v>
                </c:pt>
                <c:pt idx="540">
                  <c:v>-0.95383736871888491</c:v>
                </c:pt>
                <c:pt idx="541">
                  <c:v>-0.96427009024698895</c:v>
                </c:pt>
                <c:pt idx="542">
                  <c:v>-0.97470281799416492</c:v>
                </c:pt>
                <c:pt idx="543">
                  <c:v>-0.98513555196021174</c:v>
                </c:pt>
                <c:pt idx="544">
                  <c:v>-0.99556829214492826</c:v>
                </c:pt>
                <c:pt idx="545">
                  <c:v>-1.0060010385481135</c:v>
                </c:pt>
                <c:pt idx="546">
                  <c:v>-1.0164337911695664</c:v>
                </c:pt>
                <c:pt idx="547">
                  <c:v>-1.0268665500090861</c:v>
                </c:pt>
                <c:pt idx="548">
                  <c:v>-1.0372993150664713</c:v>
                </c:pt>
                <c:pt idx="549">
                  <c:v>-1.0477320863415209</c:v>
                </c:pt>
                <c:pt idx="550">
                  <c:v>-1.0581648638340342</c:v>
                </c:pt>
                <c:pt idx="551">
                  <c:v>-1.0685976475438099</c:v>
                </c:pt>
                <c:pt idx="552">
                  <c:v>-1.079030437470647</c:v>
                </c:pt>
                <c:pt idx="553">
                  <c:v>-1.0894632336143444</c:v>
                </c:pt>
                <c:pt idx="554">
                  <c:v>-1.0998960359747012</c:v>
                </c:pt>
                <c:pt idx="555">
                  <c:v>-1.1103288445515165</c:v>
                </c:pt>
                <c:pt idx="556">
                  <c:v>-1.120761659344589</c:v>
                </c:pt>
                <c:pt idx="557">
                  <c:v>-1.1311944803537179</c:v>
                </c:pt>
                <c:pt idx="558">
                  <c:v>-1.1416273075787022</c:v>
                </c:pt>
                <c:pt idx="559">
                  <c:v>-1.1520601410193407</c:v>
                </c:pt>
                <c:pt idx="560">
                  <c:v>-1.1624929806754325</c:v>
                </c:pt>
                <c:pt idx="561">
                  <c:v>-1.1729258265467766</c:v>
                </c:pt>
                <c:pt idx="562">
                  <c:v>-1.183358678633172</c:v>
                </c:pt>
                <c:pt idx="563">
                  <c:v>-1.1937915369344176</c:v>
                </c:pt>
                <c:pt idx="564">
                  <c:v>-1.2042244014503125</c:v>
                </c:pt>
                <c:pt idx="565">
                  <c:v>-1.2146572721806557</c:v>
                </c:pt>
                <c:pt idx="566">
                  <c:v>-1.2250901491252462</c:v>
                </c:pt>
                <c:pt idx="567">
                  <c:v>-1.235523032283883</c:v>
                </c:pt>
                <c:pt idx="568">
                  <c:v>-1.2459559216563652</c:v>
                </c:pt>
                <c:pt idx="569">
                  <c:v>-1.2563888172424917</c:v>
                </c:pt>
                <c:pt idx="570">
                  <c:v>-1.2668217190420616</c:v>
                </c:pt>
                <c:pt idx="571">
                  <c:v>-1.2772546270548739</c:v>
                </c:pt>
                <c:pt idx="572">
                  <c:v>-1.2876875412807276</c:v>
                </c:pt>
                <c:pt idx="573">
                  <c:v>-1.298120461719422</c:v>
                </c:pt>
                <c:pt idx="574">
                  <c:v>-1.3085533883707556</c:v>
                </c:pt>
                <c:pt idx="575">
                  <c:v>-1.3189863212345279</c:v>
                </c:pt>
                <c:pt idx="576">
                  <c:v>-1.3294192603105377</c:v>
                </c:pt>
                <c:pt idx="577">
                  <c:v>-1.3398522055985842</c:v>
                </c:pt>
                <c:pt idx="578">
                  <c:v>-1.3502851570984664</c:v>
                </c:pt>
                <c:pt idx="579">
                  <c:v>-1.3607181148099834</c:v>
                </c:pt>
                <c:pt idx="580">
                  <c:v>-1.3711510787329342</c:v>
                </c:pt>
                <c:pt idx="581">
                  <c:v>-1.3815840488671176</c:v>
                </c:pt>
                <c:pt idx="582">
                  <c:v>-1.3920170252123329</c:v>
                </c:pt>
                <c:pt idx="583">
                  <c:v>-1.4024500077683792</c:v>
                </c:pt>
                <c:pt idx="584">
                  <c:v>-1.4128829965350556</c:v>
                </c:pt>
                <c:pt idx="585">
                  <c:v>-1.4233159915121609</c:v>
                </c:pt>
                <c:pt idx="586">
                  <c:v>-1.4337489926994946</c:v>
                </c:pt>
                <c:pt idx="587">
                  <c:v>-1.4441820000968555</c:v>
                </c:pt>
                <c:pt idx="588">
                  <c:v>-1.4546150137040426</c:v>
                </c:pt>
                <c:pt idx="589">
                  <c:v>-1.4650480335208551</c:v>
                </c:pt>
                <c:pt idx="590">
                  <c:v>-1.4754810595470922</c:v>
                </c:pt>
                <c:pt idx="591">
                  <c:v>-1.4859140917825528</c:v>
                </c:pt>
                <c:pt idx="592">
                  <c:v>-1.4963471302270361</c:v>
                </c:pt>
                <c:pt idx="593">
                  <c:v>-1.5067801748803411</c:v>
                </c:pt>
                <c:pt idx="594">
                  <c:v>-1.517213225742267</c:v>
                </c:pt>
                <c:pt idx="595">
                  <c:v>-1.5276462828126127</c:v>
                </c:pt>
                <c:pt idx="596">
                  <c:v>-1.5380793460911775</c:v>
                </c:pt>
                <c:pt idx="597">
                  <c:v>-1.5485124155777603</c:v>
                </c:pt>
                <c:pt idx="598">
                  <c:v>-1.5589454912721605</c:v>
                </c:pt>
                <c:pt idx="599">
                  <c:v>-1.5693785731741772</c:v>
                </c:pt>
                <c:pt idx="600">
                  <c:v>-1.5798116612836093</c:v>
                </c:pt>
                <c:pt idx="601">
                  <c:v>-1.5902447556002559</c:v>
                </c:pt>
                <c:pt idx="602">
                  <c:v>-1.6006778561239163</c:v>
                </c:pt>
                <c:pt idx="603">
                  <c:v>-1.6111109628543894</c:v>
                </c:pt>
                <c:pt idx="604">
                  <c:v>-1.6215440757914745</c:v>
                </c:pt>
                <c:pt idx="605">
                  <c:v>-1.6319771949349706</c:v>
                </c:pt>
                <c:pt idx="606">
                  <c:v>-1.6424103202846769</c:v>
                </c:pt>
                <c:pt idx="607">
                  <c:v>-1.6528434518403927</c:v>
                </c:pt>
                <c:pt idx="608">
                  <c:v>-1.663276589601917</c:v>
                </c:pt>
                <c:pt idx="609">
                  <c:v>-1.673709733569049</c:v>
                </c:pt>
                <c:pt idx="610">
                  <c:v>-1.6841428837415877</c:v>
                </c:pt>
                <c:pt idx="611">
                  <c:v>-1.6945760401193324</c:v>
                </c:pt>
                <c:pt idx="612">
                  <c:v>-1.705009202702082</c:v>
                </c:pt>
                <c:pt idx="613">
                  <c:v>-1.7154423714896359</c:v>
                </c:pt>
                <c:pt idx="614">
                  <c:v>-1.7258755464817932</c:v>
                </c:pt>
                <c:pt idx="615">
                  <c:v>-1.7363087276783531</c:v>
                </c:pt>
                <c:pt idx="616">
                  <c:v>-1.7467419150791146</c:v>
                </c:pt>
                <c:pt idx="617">
                  <c:v>-1.7571751086838769</c:v>
                </c:pt>
                <c:pt idx="618">
                  <c:v>-1.7676083084924394</c:v>
                </c:pt>
                <c:pt idx="619">
                  <c:v>-1.7780415145046011</c:v>
                </c:pt>
                <c:pt idx="620">
                  <c:v>-1.7884747267201611</c:v>
                </c:pt>
                <c:pt idx="621">
                  <c:v>-1.7989079451389185</c:v>
                </c:pt>
                <c:pt idx="622">
                  <c:v>-1.8093411697606727</c:v>
                </c:pt>
                <c:pt idx="623">
                  <c:v>-1.819774400585223</c:v>
                </c:pt>
                <c:pt idx="624">
                  <c:v>-1.8302076376123684</c:v>
                </c:pt>
                <c:pt idx="625">
                  <c:v>-1.8406408808419079</c:v>
                </c:pt>
                <c:pt idx="626">
                  <c:v>-1.8510741302736411</c:v>
                </c:pt>
                <c:pt idx="627">
                  <c:v>-1.8615073859073668</c:v>
                </c:pt>
                <c:pt idx="628">
                  <c:v>-1.8719406477428844</c:v>
                </c:pt>
                <c:pt idx="629">
                  <c:v>-1.882373915779993</c:v>
                </c:pt>
                <c:pt idx="630">
                  <c:v>-1.892807190018492</c:v>
                </c:pt>
                <c:pt idx="631">
                  <c:v>-1.9032404704581805</c:v>
                </c:pt>
                <c:pt idx="632">
                  <c:v>-1.9136737570988576</c:v>
                </c:pt>
                <c:pt idx="633">
                  <c:v>-1.9241070499403228</c:v>
                </c:pt>
                <c:pt idx="634">
                  <c:v>-1.9345403489823749</c:v>
                </c:pt>
                <c:pt idx="635">
                  <c:v>-1.9449736542248135</c:v>
                </c:pt>
                <c:pt idx="636">
                  <c:v>-1.9554069656674378</c:v>
                </c:pt>
                <c:pt idx="637">
                  <c:v>-1.9658402833100468</c:v>
                </c:pt>
                <c:pt idx="638">
                  <c:v>-1.9762736071524398</c:v>
                </c:pt>
                <c:pt idx="639">
                  <c:v>-1.9867069371944162</c:v>
                </c:pt>
                <c:pt idx="640">
                  <c:v>-1.9971402734357748</c:v>
                </c:pt>
                <c:pt idx="641">
                  <c:v>-2.0075736158763151</c:v>
                </c:pt>
                <c:pt idx="642">
                  <c:v>-2.0180069645158367</c:v>
                </c:pt>
                <c:pt idx="643">
                  <c:v>-2.0284403193541385</c:v>
                </c:pt>
                <c:pt idx="644">
                  <c:v>-2.0388736803910197</c:v>
                </c:pt>
                <c:pt idx="645">
                  <c:v>-2.0493070476262796</c:v>
                </c:pt>
                <c:pt idx="646">
                  <c:v>-2.0597404210597174</c:v>
                </c:pt>
                <c:pt idx="647">
                  <c:v>-2.0701738006911325</c:v>
                </c:pt>
                <c:pt idx="648">
                  <c:v>-2.0806071865203242</c:v>
                </c:pt>
                <c:pt idx="649">
                  <c:v>-2.0910405785470916</c:v>
                </c:pt>
                <c:pt idx="650">
                  <c:v>-2.101473976771234</c:v>
                </c:pt>
                <c:pt idx="651">
                  <c:v>-2.1119073811925504</c:v>
                </c:pt>
                <c:pt idx="652">
                  <c:v>-2.1223407918108403</c:v>
                </c:pt>
                <c:pt idx="653">
                  <c:v>-2.1327742086259032</c:v>
                </c:pt>
                <c:pt idx="654">
                  <c:v>-2.1432076316375381</c:v>
                </c:pt>
                <c:pt idx="655">
                  <c:v>-2.1536410608455445</c:v>
                </c:pt>
                <c:pt idx="656">
                  <c:v>-2.1640744962497216</c:v>
                </c:pt>
                <c:pt idx="657">
                  <c:v>-2.1745079378498686</c:v>
                </c:pt>
                <c:pt idx="658">
                  <c:v>-2.1849413856457849</c:v>
                </c:pt>
                <c:pt idx="659">
                  <c:v>-2.1953748396372696</c:v>
                </c:pt>
                <c:pt idx="660">
                  <c:v>-2.2058082998241222</c:v>
                </c:pt>
                <c:pt idx="661">
                  <c:v>-2.2162417662061418</c:v>
                </c:pt>
                <c:pt idx="662">
                  <c:v>-2.2266752387831277</c:v>
                </c:pt>
                <c:pt idx="663">
                  <c:v>-2.2371087175548796</c:v>
                </c:pt>
                <c:pt idx="664">
                  <c:v>-2.2475422025211964</c:v>
                </c:pt>
                <c:pt idx="665">
                  <c:v>-2.2579756936818778</c:v>
                </c:pt>
                <c:pt idx="666">
                  <c:v>-2.2684091910367226</c:v>
                </c:pt>
                <c:pt idx="667">
                  <c:v>-2.2788426945855305</c:v>
                </c:pt>
                <c:pt idx="668">
                  <c:v>-2.2892762043281003</c:v>
                </c:pt>
                <c:pt idx="669">
                  <c:v>-2.2997097202642318</c:v>
                </c:pt>
                <c:pt idx="670">
                  <c:v>-2.3101432423937243</c:v>
                </c:pt>
                <c:pt idx="671">
                  <c:v>-2.3205767707163769</c:v>
                </c:pt>
                <c:pt idx="672">
                  <c:v>-2.3310103052319895</c:v>
                </c:pt>
                <c:pt idx="673">
                  <c:v>-2.3414438459403608</c:v>
                </c:pt>
                <c:pt idx="674">
                  <c:v>-2.3518773928412906</c:v>
                </c:pt>
                <c:pt idx="675">
                  <c:v>-2.3623109459345777</c:v>
                </c:pt>
                <c:pt idx="676">
                  <c:v>-2.3727445052200218</c:v>
                </c:pt>
                <c:pt idx="677">
                  <c:v>-2.3831780706974222</c:v>
                </c:pt>
                <c:pt idx="678">
                  <c:v>-2.3936116423665781</c:v>
                </c:pt>
                <c:pt idx="679">
                  <c:v>-2.4040452202272893</c:v>
                </c:pt>
                <c:pt idx="680">
                  <c:v>-2.4144788042793546</c:v>
                </c:pt>
                <c:pt idx="681">
                  <c:v>-2.4249123945225737</c:v>
                </c:pt>
                <c:pt idx="682">
                  <c:v>-2.4353459909567459</c:v>
                </c:pt>
                <c:pt idx="683">
                  <c:v>-2.4457795935816704</c:v>
                </c:pt>
                <c:pt idx="684">
                  <c:v>-2.456213202397147</c:v>
                </c:pt>
                <c:pt idx="685">
                  <c:v>-2.4666468174029745</c:v>
                </c:pt>
                <c:pt idx="686">
                  <c:v>-2.4770804385989527</c:v>
                </c:pt>
                <c:pt idx="687">
                  <c:v>-2.4875140659848807</c:v>
                </c:pt>
                <c:pt idx="688">
                  <c:v>-2.4979476995605583</c:v>
                </c:pt>
                <c:pt idx="689">
                  <c:v>-2.5083813393257843</c:v>
                </c:pt>
                <c:pt idx="690">
                  <c:v>-2.5188149852803585</c:v>
                </c:pt>
                <c:pt idx="691">
                  <c:v>-2.5292486374240801</c:v>
                </c:pt>
                <c:pt idx="692">
                  <c:v>-2.5396822957567489</c:v>
                </c:pt>
                <c:pt idx="693">
                  <c:v>-2.5501159602781636</c:v>
                </c:pt>
                <c:pt idx="694">
                  <c:v>-2.5605496309881239</c:v>
                </c:pt>
                <c:pt idx="695">
                  <c:v>-2.5709833078864293</c:v>
                </c:pt>
                <c:pt idx="696">
                  <c:v>-2.5814169909728792</c:v>
                </c:pt>
                <c:pt idx="697">
                  <c:v>-2.5918506802472732</c:v>
                </c:pt>
                <c:pt idx="698">
                  <c:v>-2.6022843757094103</c:v>
                </c:pt>
                <c:pt idx="699">
                  <c:v>-2.6127180773590899</c:v>
                </c:pt>
                <c:pt idx="700">
                  <c:v>-2.6231517851961117</c:v>
                </c:pt>
                <c:pt idx="701">
                  <c:v>-2.633585499220275</c:v>
                </c:pt>
                <c:pt idx="702">
                  <c:v>-2.6440192194313794</c:v>
                </c:pt>
                <c:pt idx="703">
                  <c:v>-2.6544529458292239</c:v>
                </c:pt>
                <c:pt idx="704">
                  <c:v>-2.664886678413608</c:v>
                </c:pt>
                <c:pt idx="705">
                  <c:v>-2.6753204171843317</c:v>
                </c:pt>
                <c:pt idx="706">
                  <c:v>-2.685754162141194</c:v>
                </c:pt>
                <c:pt idx="707">
                  <c:v>-2.6961879132839943</c:v>
                </c:pt>
                <c:pt idx="708">
                  <c:v>-2.7066216706125323</c:v>
                </c:pt>
                <c:pt idx="709">
                  <c:v>-2.7170554341266073</c:v>
                </c:pt>
                <c:pt idx="710">
                  <c:v>-2.7274892038260186</c:v>
                </c:pt>
                <c:pt idx="711">
                  <c:v>-2.7379229797105658</c:v>
                </c:pt>
                <c:pt idx="712">
                  <c:v>-2.7483567617800482</c:v>
                </c:pt>
                <c:pt idx="713">
                  <c:v>-2.7587905500342655</c:v>
                </c:pt>
                <c:pt idx="714">
                  <c:v>-2.7692243444730171</c:v>
                </c:pt>
                <c:pt idx="715">
                  <c:v>-2.7796581450961022</c:v>
                </c:pt>
                <c:pt idx="716">
                  <c:v>-2.7900919519033205</c:v>
                </c:pt>
                <c:pt idx="717">
                  <c:v>-2.8005257648944712</c:v>
                </c:pt>
                <c:pt idx="718">
                  <c:v>-2.8109595840693542</c:v>
                </c:pt>
                <c:pt idx="719">
                  <c:v>-2.8213934094277686</c:v>
                </c:pt>
                <c:pt idx="720">
                  <c:v>-2.8318272409695142</c:v>
                </c:pt>
                <c:pt idx="721">
                  <c:v>-2.8422610786943903</c:v>
                </c:pt>
                <c:pt idx="722">
                  <c:v>-2.8526949226021965</c:v>
                </c:pt>
                <c:pt idx="723">
                  <c:v>-2.8631287726927321</c:v>
                </c:pt>
                <c:pt idx="724">
                  <c:v>-2.873562628965797</c:v>
                </c:pt>
                <c:pt idx="725">
                  <c:v>-2.8839964914211902</c:v>
                </c:pt>
                <c:pt idx="726">
                  <c:v>-2.8944303600587111</c:v>
                </c:pt>
                <c:pt idx="727">
                  <c:v>-2.9048642348781595</c:v>
                </c:pt>
                <c:pt idx="728">
                  <c:v>-2.915298115879335</c:v>
                </c:pt>
                <c:pt idx="729">
                  <c:v>-2.9257320030620368</c:v>
                </c:pt>
                <c:pt idx="730">
                  <c:v>-2.9361658964260648</c:v>
                </c:pt>
                <c:pt idx="731">
                  <c:v>-2.9465997959712182</c:v>
                </c:pt>
                <c:pt idx="732">
                  <c:v>-2.9570337016972967</c:v>
                </c:pt>
                <c:pt idx="733">
                  <c:v>-2.9674676136040996</c:v>
                </c:pt>
                <c:pt idx="734">
                  <c:v>-2.9779015316914266</c:v>
                </c:pt>
                <c:pt idx="735">
                  <c:v>-2.9883354559590769</c:v>
                </c:pt>
                <c:pt idx="736">
                  <c:v>-2.9987693864068503</c:v>
                </c:pt>
                <c:pt idx="737">
                  <c:v>-3.0092033230345465</c:v>
                </c:pt>
                <c:pt idx="738">
                  <c:v>-3.0196372658419648</c:v>
                </c:pt>
                <c:pt idx="739">
                  <c:v>-3.0300712148289048</c:v>
                </c:pt>
                <c:pt idx="740">
                  <c:v>-3.040505169995166</c:v>
                </c:pt>
                <c:pt idx="741">
                  <c:v>-3.0509391313405478</c:v>
                </c:pt>
                <c:pt idx="742">
                  <c:v>-3.0613730988648498</c:v>
                </c:pt>
                <c:pt idx="743">
                  <c:v>-3.0718070725678719</c:v>
                </c:pt>
                <c:pt idx="744">
                  <c:v>-3.082241052449413</c:v>
                </c:pt>
                <c:pt idx="745">
                  <c:v>-3.0926750385092734</c:v>
                </c:pt>
                <c:pt idx="746">
                  <c:v>-3.1031090307472522</c:v>
                </c:pt>
                <c:pt idx="747">
                  <c:v>-3.1135430291631492</c:v>
                </c:pt>
                <c:pt idx="748">
                  <c:v>-3.1239770337567636</c:v>
                </c:pt>
                <c:pt idx="749">
                  <c:v>-3.1344110445278952</c:v>
                </c:pt>
                <c:pt idx="750">
                  <c:v>-3.1448450614763437</c:v>
                </c:pt>
                <c:pt idx="751">
                  <c:v>-3.1552790846019083</c:v>
                </c:pt>
                <c:pt idx="752">
                  <c:v>-3.1657131139043888</c:v>
                </c:pt>
                <c:pt idx="753">
                  <c:v>-3.1761471493835849</c:v>
                </c:pt>
                <c:pt idx="754">
                  <c:v>-3.1865811910392958</c:v>
                </c:pt>
                <c:pt idx="755">
                  <c:v>-3.1970152388713213</c:v>
                </c:pt>
                <c:pt idx="756">
                  <c:v>-3.2074492928794611</c:v>
                </c:pt>
                <c:pt idx="757">
                  <c:v>-3.2178833530635145</c:v>
                </c:pt>
                <c:pt idx="758">
                  <c:v>-3.2283174194232815</c:v>
                </c:pt>
                <c:pt idx="759">
                  <c:v>-3.2387514919585616</c:v>
                </c:pt>
                <c:pt idx="760">
                  <c:v>-3.2491855706691539</c:v>
                </c:pt>
                <c:pt idx="761">
                  <c:v>-3.2596196555548587</c:v>
                </c:pt>
                <c:pt idx="762">
                  <c:v>-3.2700537466154751</c:v>
                </c:pt>
                <c:pt idx="763">
                  <c:v>-3.2804878438508029</c:v>
                </c:pt>
                <c:pt idx="764">
                  <c:v>-3.2909219472606415</c:v>
                </c:pt>
                <c:pt idx="765">
                  <c:v>-3.3013560568447908</c:v>
                </c:pt>
                <c:pt idx="766">
                  <c:v>-3.3117901726030503</c:v>
                </c:pt>
                <c:pt idx="767">
                  <c:v>-3.3222242945352196</c:v>
                </c:pt>
                <c:pt idx="768">
                  <c:v>-3.3326584226410985</c:v>
                </c:pt>
                <c:pt idx="769">
                  <c:v>-3.3430925569204861</c:v>
                </c:pt>
                <c:pt idx="770">
                  <c:v>-3.3535266973731828</c:v>
                </c:pt>
                <c:pt idx="771">
                  <c:v>-3.3639608439989876</c:v>
                </c:pt>
                <c:pt idx="772">
                  <c:v>-3.3743949967977005</c:v>
                </c:pt>
                <c:pt idx="773">
                  <c:v>-3.384829155769121</c:v>
                </c:pt>
                <c:pt idx="774">
                  <c:v>-3.3952633209130485</c:v>
                </c:pt>
                <c:pt idx="775">
                  <c:v>-3.4056974922292831</c:v>
                </c:pt>
                <c:pt idx="776">
                  <c:v>-3.4161316697176241</c:v>
                </c:pt>
                <c:pt idx="777">
                  <c:v>-3.4265658533778711</c:v>
                </c:pt>
                <c:pt idx="778">
                  <c:v>-3.437000043209824</c:v>
                </c:pt>
                <c:pt idx="779">
                  <c:v>-3.4474342392132824</c:v>
                </c:pt>
                <c:pt idx="780">
                  <c:v>-3.4578684413880461</c:v>
                </c:pt>
                <c:pt idx="781">
                  <c:v>-3.4683026497339147</c:v>
                </c:pt>
                <c:pt idx="782">
                  <c:v>-3.4787368642506875</c:v>
                </c:pt>
                <c:pt idx="783">
                  <c:v>-3.4891710849381647</c:v>
                </c:pt>
                <c:pt idx="784">
                  <c:v>-3.4996053117961456</c:v>
                </c:pt>
                <c:pt idx="785">
                  <c:v>-3.5100395448244299</c:v>
                </c:pt>
                <c:pt idx="786">
                  <c:v>-3.5204737840228173</c:v>
                </c:pt>
                <c:pt idx="787">
                  <c:v>-3.5309080293911075</c:v>
                </c:pt>
                <c:pt idx="788">
                  <c:v>-3.5413422809291002</c:v>
                </c:pt>
                <c:pt idx="789">
                  <c:v>-3.5517765386365951</c:v>
                </c:pt>
                <c:pt idx="790">
                  <c:v>-3.5622108025133921</c:v>
                </c:pt>
                <c:pt idx="791">
                  <c:v>-3.5726450725592906</c:v>
                </c:pt>
                <c:pt idx="792">
                  <c:v>-3.5830793487740902</c:v>
                </c:pt>
                <c:pt idx="793">
                  <c:v>-3.5935136311575908</c:v>
                </c:pt>
                <c:pt idx="794">
                  <c:v>-3.6039479197095923</c:v>
                </c:pt>
                <c:pt idx="795">
                  <c:v>-3.6143822144298938</c:v>
                </c:pt>
                <c:pt idx="796">
                  <c:v>-3.6248165153182956</c:v>
                </c:pt>
                <c:pt idx="797">
                  <c:v>-3.635250822374597</c:v>
                </c:pt>
                <c:pt idx="798">
                  <c:v>-3.645685135598598</c:v>
                </c:pt>
                <c:pt idx="799">
                  <c:v>-3.6561194549900984</c:v>
                </c:pt>
                <c:pt idx="800">
                  <c:v>-3.6665537805488975</c:v>
                </c:pt>
                <c:pt idx="801">
                  <c:v>-3.6769881122747954</c:v>
                </c:pt>
                <c:pt idx="802">
                  <c:v>-3.6874224501675914</c:v>
                </c:pt>
                <c:pt idx="803">
                  <c:v>-3.6978567942270857</c:v>
                </c:pt>
                <c:pt idx="804">
                  <c:v>-3.7082911444530775</c:v>
                </c:pt>
                <c:pt idx="805">
                  <c:v>-3.718725500845367</c:v>
                </c:pt>
                <c:pt idx="806">
                  <c:v>-3.7291598634037539</c:v>
                </c:pt>
                <c:pt idx="807">
                  <c:v>-3.739594232128038</c:v>
                </c:pt>
                <c:pt idx="808">
                  <c:v>-3.7500286070180184</c:v>
                </c:pt>
                <c:pt idx="809">
                  <c:v>-3.7604629880734954</c:v>
                </c:pt>
                <c:pt idx="810">
                  <c:v>-3.7708973752942687</c:v>
                </c:pt>
                <c:pt idx="811">
                  <c:v>-3.781331768680138</c:v>
                </c:pt>
                <c:pt idx="812">
                  <c:v>-3.7917661682309034</c:v>
                </c:pt>
                <c:pt idx="813">
                  <c:v>-3.8022005739463642</c:v>
                </c:pt>
                <c:pt idx="814">
                  <c:v>-3.8126349858263202</c:v>
                </c:pt>
                <c:pt idx="815">
                  <c:v>-3.823069403870571</c:v>
                </c:pt>
                <c:pt idx="816">
                  <c:v>-3.8335038280789169</c:v>
                </c:pt>
                <c:pt idx="817">
                  <c:v>-3.8439382584511574</c:v>
                </c:pt>
                <c:pt idx="818">
                  <c:v>-3.854372694987092</c:v>
                </c:pt>
                <c:pt idx="819">
                  <c:v>-3.8648071376865207</c:v>
                </c:pt>
                <c:pt idx="820">
                  <c:v>-3.8752415865492433</c:v>
                </c:pt>
                <c:pt idx="821">
                  <c:v>-3.88567604157506</c:v>
                </c:pt>
                <c:pt idx="822">
                  <c:v>-3.8961105027637699</c:v>
                </c:pt>
                <c:pt idx="823">
                  <c:v>-3.9065449701151733</c:v>
                </c:pt>
                <c:pt idx="824">
                  <c:v>-3.9169794436290695</c:v>
                </c:pt>
                <c:pt idx="825">
                  <c:v>-3.9274139233052585</c:v>
                </c:pt>
                <c:pt idx="826">
                  <c:v>-3.9378484091435402</c:v>
                </c:pt>
                <c:pt idx="827">
                  <c:v>-3.9482829011437142</c:v>
                </c:pt>
                <c:pt idx="828">
                  <c:v>-3.9587173993055806</c:v>
                </c:pt>
                <c:pt idx="829">
                  <c:v>-3.9691519036289389</c:v>
                </c:pt>
                <c:pt idx="830">
                  <c:v>-3.979586414113589</c:v>
                </c:pt>
                <c:pt idx="831">
                  <c:v>-3.9900209307593308</c:v>
                </c:pt>
                <c:pt idx="832">
                  <c:v>-4.000455453565964</c:v>
                </c:pt>
                <c:pt idx="833">
                  <c:v>-4.0108899825332891</c:v>
                </c:pt>
                <c:pt idx="834">
                  <c:v>-4.021324517661105</c:v>
                </c:pt>
                <c:pt idx="835">
                  <c:v>-4.0317590589492118</c:v>
                </c:pt>
                <c:pt idx="836">
                  <c:v>-4.0421936063974098</c:v>
                </c:pt>
                <c:pt idx="837">
                  <c:v>-4.0526281600054981</c:v>
                </c:pt>
                <c:pt idx="838">
                  <c:v>-4.0630627197732769</c:v>
                </c:pt>
                <c:pt idx="839">
                  <c:v>-4.0734972857005456</c:v>
                </c:pt>
                <c:pt idx="840">
                  <c:v>-4.0839318577871042</c:v>
                </c:pt>
                <c:pt idx="841">
                  <c:v>-4.094366436032753</c:v>
                </c:pt>
                <c:pt idx="842">
                  <c:v>-4.104801020437292</c:v>
                </c:pt>
                <c:pt idx="843">
                  <c:v>-4.1152356110005206</c:v>
                </c:pt>
                <c:pt idx="844">
                  <c:v>-4.125670207722238</c:v>
                </c:pt>
                <c:pt idx="845">
                  <c:v>-4.1361048106022453</c:v>
                </c:pt>
                <c:pt idx="846">
                  <c:v>-4.1465394196403418</c:v>
                </c:pt>
                <c:pt idx="847">
                  <c:v>-4.1569740348363267</c:v>
                </c:pt>
                <c:pt idx="848">
                  <c:v>-4.167408656190001</c:v>
                </c:pt>
                <c:pt idx="849">
                  <c:v>-4.1778432837011641</c:v>
                </c:pt>
                <c:pt idx="850">
                  <c:v>-4.1882779173696161</c:v>
                </c:pt>
                <c:pt idx="851">
                  <c:v>-4.1987125571951562</c:v>
                </c:pt>
                <c:pt idx="852">
                  <c:v>-4.2091472031775847</c:v>
                </c:pt>
                <c:pt idx="853">
                  <c:v>-4.2195818553167017</c:v>
                </c:pt>
                <c:pt idx="854">
                  <c:v>-4.2300165136123065</c:v>
                </c:pt>
                <c:pt idx="855">
                  <c:v>-4.2404511780641991</c:v>
                </c:pt>
                <c:pt idx="856">
                  <c:v>-4.2508858486721799</c:v>
                </c:pt>
                <c:pt idx="857">
                  <c:v>-4.2613205254360489</c:v>
                </c:pt>
                <c:pt idx="858">
                  <c:v>-4.2717552083556054</c:v>
                </c:pt>
                <c:pt idx="859">
                  <c:v>-4.2821898974306496</c:v>
                </c:pt>
                <c:pt idx="860">
                  <c:v>-4.2926245926609807</c:v>
                </c:pt>
                <c:pt idx="861">
                  <c:v>-4.3030592940463999</c:v>
                </c:pt>
                <c:pt idx="862">
                  <c:v>-4.3134940015867063</c:v>
                </c:pt>
                <c:pt idx="863">
                  <c:v>-4.3239287152817001</c:v>
                </c:pt>
                <c:pt idx="864">
                  <c:v>-4.3343634351311806</c:v>
                </c:pt>
                <c:pt idx="865">
                  <c:v>-4.344798161134948</c:v>
                </c:pt>
                <c:pt idx="866">
                  <c:v>-4.3552328932928024</c:v>
                </c:pt>
                <c:pt idx="867">
                  <c:v>-4.365667631604544</c:v>
                </c:pt>
                <c:pt idx="868">
                  <c:v>-4.376102376069972</c:v>
                </c:pt>
                <c:pt idx="869">
                  <c:v>-4.3865371266888866</c:v>
                </c:pt>
                <c:pt idx="870">
                  <c:v>-4.396971883461088</c:v>
                </c:pt>
                <c:pt idx="871">
                  <c:v>-4.4074066463863764</c:v>
                </c:pt>
                <c:pt idx="872">
                  <c:v>-4.4178414154645509</c:v>
                </c:pt>
                <c:pt idx="873">
                  <c:v>-4.4282761906954118</c:v>
                </c:pt>
                <c:pt idx="874">
                  <c:v>-4.4387109720787592</c:v>
                </c:pt>
                <c:pt idx="875">
                  <c:v>-4.4491457596143933</c:v>
                </c:pt>
                <c:pt idx="876">
                  <c:v>-4.4595805533021133</c:v>
                </c:pt>
                <c:pt idx="877">
                  <c:v>-4.4700153531417195</c:v>
                </c:pt>
                <c:pt idx="878">
                  <c:v>-4.4804501591330119</c:v>
                </c:pt>
                <c:pt idx="879">
                  <c:v>-4.4908849712757908</c:v>
                </c:pt>
                <c:pt idx="880">
                  <c:v>-4.5013197895698553</c:v>
                </c:pt>
                <c:pt idx="881">
                  <c:v>-4.5117546140150058</c:v>
                </c:pt>
                <c:pt idx="882">
                  <c:v>-4.5221894446110422</c:v>
                </c:pt>
                <c:pt idx="883">
                  <c:v>-4.5326242813577649</c:v>
                </c:pt>
                <c:pt idx="884">
                  <c:v>-4.5430591242549738</c:v>
                </c:pt>
                <c:pt idx="885">
                  <c:v>-4.5534939733024684</c:v>
                </c:pt>
                <c:pt idx="886">
                  <c:v>-4.5639288285000488</c:v>
                </c:pt>
                <c:pt idx="887">
                  <c:v>-4.5743636898475151</c:v>
                </c:pt>
                <c:pt idx="888">
                  <c:v>-4.5847985573446675</c:v>
                </c:pt>
                <c:pt idx="889">
                  <c:v>-4.5952334309913061</c:v>
                </c:pt>
                <c:pt idx="890">
                  <c:v>-4.6056683107872303</c:v>
                </c:pt>
                <c:pt idx="891">
                  <c:v>-4.6161031967322401</c:v>
                </c:pt>
                <c:pt idx="892">
                  <c:v>-4.6265380888261358</c:v>
                </c:pt>
                <c:pt idx="893">
                  <c:v>-4.6369729870687175</c:v>
                </c:pt>
                <c:pt idx="894">
                  <c:v>-4.6474078914597854</c:v>
                </c:pt>
                <c:pt idx="895">
                  <c:v>-4.6578428019991387</c:v>
                </c:pt>
                <c:pt idx="896">
                  <c:v>-4.6682777186865776</c:v>
                </c:pt>
                <c:pt idx="897">
                  <c:v>-4.6787126415219022</c:v>
                </c:pt>
                <c:pt idx="898">
                  <c:v>-4.6891475705049128</c:v>
                </c:pt>
                <c:pt idx="899">
                  <c:v>-4.6995825056354095</c:v>
                </c:pt>
                <c:pt idx="900">
                  <c:v>-4.7100174469131924</c:v>
                </c:pt>
                <c:pt idx="901">
                  <c:v>-4.7204523943380607</c:v>
                </c:pt>
                <c:pt idx="902">
                  <c:v>-4.7308873479098157</c:v>
                </c:pt>
                <c:pt idx="903">
                  <c:v>-4.7413223076282565</c:v>
                </c:pt>
                <c:pt idx="904">
                  <c:v>-4.7517572734931832</c:v>
                </c:pt>
                <c:pt idx="905">
                  <c:v>-4.7621922455043961</c:v>
                </c:pt>
                <c:pt idx="906">
                  <c:v>-4.7726272236616953</c:v>
                </c:pt>
                <c:pt idx="907">
                  <c:v>-4.7830622079648801</c:v>
                </c:pt>
                <c:pt idx="908">
                  <c:v>-4.7934971984137515</c:v>
                </c:pt>
                <c:pt idx="909">
                  <c:v>-4.8039321950081089</c:v>
                </c:pt>
                <c:pt idx="910">
                  <c:v>-4.8143671977477522</c:v>
                </c:pt>
                <c:pt idx="911">
                  <c:v>-4.8248022066324818</c:v>
                </c:pt>
                <c:pt idx="912">
                  <c:v>-4.8352372216620978</c:v>
                </c:pt>
                <c:pt idx="913">
                  <c:v>-4.8456722428364003</c:v>
                </c:pt>
                <c:pt idx="914">
                  <c:v>-4.8561072701551895</c:v>
                </c:pt>
                <c:pt idx="915">
                  <c:v>-4.8665423036182656</c:v>
                </c:pt>
                <c:pt idx="916">
                  <c:v>-4.8769773432254278</c:v>
                </c:pt>
                <c:pt idx="917">
                  <c:v>-4.8874123889764771</c:v>
                </c:pt>
                <c:pt idx="918">
                  <c:v>-4.8978474408712129</c:v>
                </c:pt>
                <c:pt idx="919">
                  <c:v>-4.9082824989094354</c:v>
                </c:pt>
                <c:pt idx="920">
                  <c:v>-4.9187175630909445</c:v>
                </c:pt>
                <c:pt idx="921">
                  <c:v>-4.9291526334155416</c:v>
                </c:pt>
                <c:pt idx="922">
                  <c:v>-4.9395877098830256</c:v>
                </c:pt>
                <c:pt idx="923">
                  <c:v>-4.950022792493197</c:v>
                </c:pt>
                <c:pt idx="924">
                  <c:v>-4.9604578812458548</c:v>
                </c:pt>
                <c:pt idx="925">
                  <c:v>-4.9708929761408003</c:v>
                </c:pt>
                <c:pt idx="926">
                  <c:v>-4.9813280771778334</c:v>
                </c:pt>
                <c:pt idx="927">
                  <c:v>-4.9917631843567536</c:v>
                </c:pt>
                <c:pt idx="928">
                  <c:v>-5.0021982976773618</c:v>
                </c:pt>
                <c:pt idx="929">
                  <c:v>-5.0126334171394582</c:v>
                </c:pt>
                <c:pt idx="930">
                  <c:v>-5.0230685427428421</c:v>
                </c:pt>
                <c:pt idx="931">
                  <c:v>-5.0335036744873136</c:v>
                </c:pt>
                <c:pt idx="932">
                  <c:v>-5.0439388123726738</c:v>
                </c:pt>
                <c:pt idx="933">
                  <c:v>-5.054373956398722</c:v>
                </c:pt>
                <c:pt idx="934">
                  <c:v>-5.0648091065652583</c:v>
                </c:pt>
                <c:pt idx="935">
                  <c:v>-5.0752442628720837</c:v>
                </c:pt>
                <c:pt idx="936">
                  <c:v>-5.0856794253189976</c:v>
                </c:pt>
                <c:pt idx="937">
                  <c:v>-5.0961145939058001</c:v>
                </c:pt>
                <c:pt idx="938">
                  <c:v>-5.1065497686322914</c:v>
                </c:pt>
                <c:pt idx="939">
                  <c:v>-5.1169849494982715</c:v>
                </c:pt>
                <c:pt idx="940">
                  <c:v>-5.1274201365035408</c:v>
                </c:pt>
                <c:pt idx="941">
                  <c:v>-5.1378553296478993</c:v>
                </c:pt>
                <c:pt idx="942">
                  <c:v>-5.1482905289311471</c:v>
                </c:pt>
                <c:pt idx="943">
                  <c:v>-5.1587257343530846</c:v>
                </c:pt>
                <c:pt idx="944">
                  <c:v>-5.1691609459135117</c:v>
                </c:pt>
                <c:pt idx="945">
                  <c:v>-5.1795961636122287</c:v>
                </c:pt>
                <c:pt idx="946">
                  <c:v>-5.1900313874490358</c:v>
                </c:pt>
                <c:pt idx="947">
                  <c:v>-5.2004666174237331</c:v>
                </c:pt>
                <c:pt idx="948">
                  <c:v>-5.2109018535361207</c:v>
                </c:pt>
                <c:pt idx="949">
                  <c:v>-5.2213370957859997</c:v>
                </c:pt>
                <c:pt idx="950">
                  <c:v>-5.2317723441731694</c:v>
                </c:pt>
                <c:pt idx="951">
                  <c:v>-5.2422075986974299</c:v>
                </c:pt>
                <c:pt idx="952">
                  <c:v>-5.2526428593585814</c:v>
                </c:pt>
                <c:pt idx="953">
                  <c:v>-5.2630781261564241</c:v>
                </c:pt>
                <c:pt idx="954">
                  <c:v>-5.2735133990907581</c:v>
                </c:pt>
                <c:pt idx="955">
                  <c:v>-5.2839486781613836</c:v>
                </c:pt>
                <c:pt idx="956">
                  <c:v>-5.2943839633681007</c:v>
                </c:pt>
                <c:pt idx="957">
                  <c:v>-5.3048192547107096</c:v>
                </c:pt>
                <c:pt idx="958">
                  <c:v>-5.3152545521890113</c:v>
                </c:pt>
                <c:pt idx="959">
                  <c:v>-5.3256898558028052</c:v>
                </c:pt>
                <c:pt idx="960">
                  <c:v>-5.3361251655518913</c:v>
                </c:pt>
                <c:pt idx="961">
                  <c:v>-5.3465604814360708</c:v>
                </c:pt>
                <c:pt idx="962">
                  <c:v>-5.3569958034551428</c:v>
                </c:pt>
                <c:pt idx="963">
                  <c:v>-5.3674311316089085</c:v>
                </c:pt>
                <c:pt idx="964">
                  <c:v>-5.3778664658971671</c:v>
                </c:pt>
                <c:pt idx="965">
                  <c:v>-5.3883018063197197</c:v>
                </c:pt>
                <c:pt idx="966">
                  <c:v>-5.3987371528763655</c:v>
                </c:pt>
                <c:pt idx="967">
                  <c:v>-5.4091725055669055</c:v>
                </c:pt>
                <c:pt idx="968">
                  <c:v>-5.4196078643911401</c:v>
                </c:pt>
                <c:pt idx="969">
                  <c:v>-5.4300432293488692</c:v>
                </c:pt>
                <c:pt idx="970">
                  <c:v>-5.4404786004398931</c:v>
                </c:pt>
                <c:pt idx="971">
                  <c:v>-5.4509139776640119</c:v>
                </c:pt>
                <c:pt idx="972">
                  <c:v>-5.4613493610210258</c:v>
                </c:pt>
                <c:pt idx="973">
                  <c:v>-5.4717847505107349</c:v>
                </c:pt>
                <c:pt idx="974">
                  <c:v>-5.4822201461329403</c:v>
                </c:pt>
                <c:pt idx="975">
                  <c:v>-5.4926555478874413</c:v>
                </c:pt>
                <c:pt idx="976">
                  <c:v>-5.5030909557740388</c:v>
                </c:pt>
                <c:pt idx="977">
                  <c:v>-5.5135263697925323</c:v>
                </c:pt>
                <c:pt idx="978">
                  <c:v>-5.5239617899427227</c:v>
                </c:pt>
                <c:pt idx="979">
                  <c:v>-5.5343972162244102</c:v>
                </c:pt>
                <c:pt idx="980">
                  <c:v>-5.5448326486373949</c:v>
                </c:pt>
                <c:pt idx="981">
                  <c:v>-5.555268087181477</c:v>
                </c:pt>
                <c:pt idx="982">
                  <c:v>-5.5657035318564567</c:v>
                </c:pt>
                <c:pt idx="983">
                  <c:v>-5.5761389826621341</c:v>
                </c:pt>
                <c:pt idx="984">
                  <c:v>-5.5865744395983103</c:v>
                </c:pt>
                <c:pt idx="985">
                  <c:v>-5.5970099026647846</c:v>
                </c:pt>
                <c:pt idx="986">
                  <c:v>-5.6074453718613579</c:v>
                </c:pt>
                <c:pt idx="987">
                  <c:v>-5.6178808471878305</c:v>
                </c:pt>
                <c:pt idx="988">
                  <c:v>-5.6283163286440026</c:v>
                </c:pt>
                <c:pt idx="989">
                  <c:v>-5.6387518162296741</c:v>
                </c:pt>
                <c:pt idx="990">
                  <c:v>-5.6491873099446455</c:v>
                </c:pt>
                <c:pt idx="991">
                  <c:v>-5.6596228097887176</c:v>
                </c:pt>
                <c:pt idx="992">
                  <c:v>-5.6700583157616897</c:v>
                </c:pt>
                <c:pt idx="993">
                  <c:v>-5.680493827863363</c:v>
                </c:pt>
                <c:pt idx="994">
                  <c:v>-5.6909293460935375</c:v>
                </c:pt>
                <c:pt idx="995">
                  <c:v>-5.7013648704520135</c:v>
                </c:pt>
                <c:pt idx="996">
                  <c:v>-5.711800400938591</c:v>
                </c:pt>
                <c:pt idx="997">
                  <c:v>-5.7222359375530711</c:v>
                </c:pt>
                <c:pt idx="998">
                  <c:v>-5.7326714802952532</c:v>
                </c:pt>
                <c:pt idx="999">
                  <c:v>-5.7431070291649382</c:v>
                </c:pt>
                <c:pt idx="1000">
                  <c:v>-5.7535425841619263</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0</c:v>
                </c:pt>
                <c:pt idx="1">
                  <c:v>0</c:v>
                </c:pt>
                <c:pt idx="2">
                  <c:v>0</c:v>
                </c:pt>
                <c:pt idx="3">
                  <c:v>0</c:v>
                </c:pt>
                <c:pt idx="4">
                  <c:v>0</c:v>
                </c:pt>
                <c:pt idx="5">
                  <c:v>0</c:v>
                </c:pt>
                <c:pt idx="6">
                  <c:v>0</c:v>
                </c:pt>
              </c:numCache>
            </c:numRef>
          </c:xVal>
          <c:yVal>
            <c:numRef>
              <c:f>Trajecto!$C$141:$C$147</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131.1551130355156</c:v>
                </c:pt>
                <c:pt idx="1">
                  <c:v>131.54043507181609</c:v>
                </c:pt>
                <c:pt idx="2">
                  <c:v>131.92632963716898</c:v>
                </c:pt>
                <c:pt idx="3">
                  <c:v>132.31352857081282</c:v>
                </c:pt>
                <c:pt idx="4">
                  <c:v>132.70216476305305</c:v>
                </c:pt>
                <c:pt idx="5">
                  <c:v>133.09211109009587</c:v>
                </c:pt>
                <c:pt idx="6">
                  <c:v>133.48331963409086</c:v>
                </c:pt>
                <c:pt idx="7">
                  <c:v>133.87578209569972</c:v>
                </c:pt>
                <c:pt idx="8">
                  <c:v>134.26949017083891</c:v>
                </c:pt>
                <c:pt idx="9">
                  <c:v>134.66443555094642</c:v>
                </c:pt>
                <c:pt idx="10">
                  <c:v>135.06060992324578</c:v>
                </c:pt>
                <c:pt idx="11">
                  <c:v>135.45800497100714</c:v>
                </c:pt>
                <c:pt idx="12">
                  <c:v>135.85661237380594</c:v>
                </c:pt>
                <c:pt idx="13">
                  <c:v>136.25642380777865</c:v>
                </c:pt>
                <c:pt idx="14">
                  <c:v>136.65743094587594</c:v>
                </c:pt>
                <c:pt idx="15">
                  <c:v>137.05962545811312</c:v>
                </c:pt>
                <c:pt idx="16">
                  <c:v>137.46299901181786</c:v>
                </c:pt>
                <c:pt idx="17">
                  <c:v>137.86754327187543</c:v>
                </c:pt>
                <c:pt idx="18">
                  <c:v>138.27324990097102</c:v>
                </c:pt>
                <c:pt idx="19">
                  <c:v>138.68011055982961</c:v>
                </c:pt>
                <c:pt idx="20">
                  <c:v>139.08811690745304</c:v>
                </c:pt>
                <c:pt idx="21">
                  <c:v>139.49726060135461</c:v>
                </c:pt>
                <c:pt idx="22">
                  <c:v>139.90753329779088</c:v>
                </c:pt>
                <c:pt idx="23">
                  <c:v>140.31892665199103</c:v>
                </c:pt>
                <c:pt idx="24">
                  <c:v>140.73143231838347</c:v>
                </c:pt>
                <c:pt idx="25">
                  <c:v>141.14504195081983</c:v>
                </c:pt>
                <c:pt idx="26">
                  <c:v>141.55974720279653</c:v>
                </c:pt>
                <c:pt idx="27">
                  <c:v>141.97553972767361</c:v>
                </c:pt>
                <c:pt idx="28">
                  <c:v>142.39241117889094</c:v>
                </c:pt>
                <c:pt idx="29">
                  <c:v>142.81035321018209</c:v>
                </c:pt>
                <c:pt idx="30">
                  <c:v>143.22935747578538</c:v>
                </c:pt>
                <c:pt idx="31">
                  <c:v>143.64941563065253</c:v>
                </c:pt>
                <c:pt idx="32">
                  <c:v>144.07051933065475</c:v>
                </c:pt>
                <c:pt idx="33">
                  <c:v>144.49266023278628</c:v>
                </c:pt>
                <c:pt idx="34">
                  <c:v>144.91582999536533</c:v>
                </c:pt>
                <c:pt idx="35">
                  <c:v>145.34002027823263</c:v>
                </c:pt>
                <c:pt idx="36">
                  <c:v>145.76522274294743</c:v>
                </c:pt>
                <c:pt idx="37">
                  <c:v>146.19142905298096</c:v>
                </c:pt>
                <c:pt idx="38">
                  <c:v>146.61863087390742</c:v>
                </c:pt>
                <c:pt idx="39">
                  <c:v>147.04681987359254</c:v>
                </c:pt>
                <c:pt idx="40">
                  <c:v>147.47598772237959</c:v>
                </c:pt>
                <c:pt idx="41">
                  <c:v>147.90612609327297</c:v>
                </c:pt>
                <c:pt idx="42">
                  <c:v>148.33722666211943</c:v>
                </c:pt>
                <c:pt idx="43">
                  <c:v>148.76928110778664</c:v>
                </c:pt>
                <c:pt idx="44">
                  <c:v>149.20228111233951</c:v>
                </c:pt>
                <c:pt idx="45">
                  <c:v>149.63621836121405</c:v>
                </c:pt>
                <c:pt idx="46">
                  <c:v>150.07108454338879</c:v>
                </c:pt>
                <c:pt idx="47">
                  <c:v>150.50687135155383</c:v>
                </c:pt>
                <c:pt idx="48">
                  <c:v>150.94357048227741</c:v>
                </c:pt>
                <c:pt idx="49">
                  <c:v>151.38117363617022</c:v>
                </c:pt>
                <c:pt idx="50">
                  <c:v>151.81967251804724</c:v>
                </c:pt>
                <c:pt idx="51">
                  <c:v>152.25905883708728</c:v>
                </c:pt>
                <c:pt idx="52">
                  <c:v>152.69932430699015</c:v>
                </c:pt>
                <c:pt idx="53">
                  <c:v>153.14046064613149</c:v>
                </c:pt>
                <c:pt idx="54">
                  <c:v>153.58245957771524</c:v>
                </c:pt>
                <c:pt idx="55">
                  <c:v>154.02531282992382</c:v>
                </c:pt>
                <c:pt idx="56">
                  <c:v>154.46901213606597</c:v>
                </c:pt>
                <c:pt idx="57">
                  <c:v>154.91354923472238</c:v>
                </c:pt>
                <c:pt idx="58">
                  <c:v>155.3589158698889</c:v>
                </c:pt>
                <c:pt idx="59">
                  <c:v>155.80510379111755</c:v>
                </c:pt>
                <c:pt idx="60">
                  <c:v>156.25210475365526</c:v>
                </c:pt>
                <c:pt idx="61">
                  <c:v>156.69991051858037</c:v>
                </c:pt>
                <c:pt idx="62">
                  <c:v>157.14851285293679</c:v>
                </c:pt>
                <c:pt idx="63">
                  <c:v>157.59789996128404</c:v>
                </c:pt>
                <c:pt idx="64">
                  <c:v>158.04805291750549</c:v>
                </c:pt>
                <c:pt idx="65">
                  <c:v>158.49894924008308</c:v>
                </c:pt>
                <c:pt idx="66">
                  <c:v>158.95056646730319</c:v>
                </c:pt>
                <c:pt idx="67">
                  <c:v>159.40287887903915</c:v>
                </c:pt>
                <c:pt idx="68">
                  <c:v>159.85585421913737</c:v>
                </c:pt>
                <c:pt idx="69">
                  <c:v>160.30945114324558</c:v>
                </c:pt>
                <c:pt idx="70">
                  <c:v>160.76361666794466</c:v>
                </c:pt>
                <c:pt idx="71">
                  <c:v>161.21829202270038</c:v>
                </c:pt>
                <c:pt idx="72">
                  <c:v>161.6734185008045</c:v>
                </c:pt>
                <c:pt idx="73">
                  <c:v>162.12893746163513</c:v>
                </c:pt>
                <c:pt idx="74">
                  <c:v>162.58479033282839</c:v>
                </c:pt>
                <c:pt idx="75">
                  <c:v>163.04091861236188</c:v>
                </c:pt>
                <c:pt idx="76">
                  <c:v>163.49726387055003</c:v>
                </c:pt>
                <c:pt idx="77">
                  <c:v>163.95376775195228</c:v>
                </c:pt>
                <c:pt idx="78">
                  <c:v>164.41037197719399</c:v>
                </c:pt>
                <c:pt idx="79">
                  <c:v>164.86701834470082</c:v>
                </c:pt>
                <c:pt idx="80">
                  <c:v>165.32364873234695</c:v>
                </c:pt>
                <c:pt idx="81">
                  <c:v>165.78021209043138</c:v>
                </c:pt>
                <c:pt idx="82">
                  <c:v>166.23667142866194</c:v>
                </c:pt>
                <c:pt idx="83">
                  <c:v>166.69299680499802</c:v>
                </c:pt>
                <c:pt idx="84">
                  <c:v>167.14915831977527</c:v>
                </c:pt>
                <c:pt idx="85">
                  <c:v>167.60512611587896</c:v>
                </c:pt>
                <c:pt idx="86">
                  <c:v>168.0608703788958</c:v>
                </c:pt>
                <c:pt idx="87">
                  <c:v>168.51636133724392</c:v>
                </c:pt>
                <c:pt idx="88">
                  <c:v>168.97156926228169</c:v>
                </c:pt>
                <c:pt idx="89">
                  <c:v>169.42646668721616</c:v>
                </c:pt>
                <c:pt idx="90">
                  <c:v>169.88103062383692</c:v>
                </c:pt>
                <c:pt idx="91">
                  <c:v>170.33524033672509</c:v>
                </c:pt>
                <c:pt idx="92">
                  <c:v>170.78907511954225</c:v>
                </c:pt>
                <c:pt idx="93">
                  <c:v>171.24251485096084</c:v>
                </c:pt>
                <c:pt idx="94">
                  <c:v>171.69554055002618</c:v>
                </c:pt>
                <c:pt idx="95">
                  <c:v>172.14813381823743</c:v>
                </c:pt>
                <c:pt idx="96">
                  <c:v>172.60027628217395</c:v>
                </c:pt>
                <c:pt idx="97">
                  <c:v>173.0519518226458</c:v>
                </c:pt>
                <c:pt idx="98">
                  <c:v>173.50314880154164</c:v>
                </c:pt>
                <c:pt idx="99">
                  <c:v>173.95385782522129</c:v>
                </c:pt>
                <c:pt idx="100">
                  <c:v>174.404069510216</c:v>
                </c:pt>
                <c:pt idx="101">
                  <c:v>174.85377448309956</c:v>
                </c:pt>
                <c:pt idx="102">
                  <c:v>175.30296338035768</c:v>
                </c:pt>
                <c:pt idx="103">
                  <c:v>175.751626848256</c:v>
                </c:pt>
                <c:pt idx="104">
                  <c:v>176.19975554270613</c:v>
                </c:pt>
                <c:pt idx="105">
                  <c:v>176.64734012913038</c:v>
                </c:pt>
                <c:pt idx="106">
                  <c:v>177.09437128232463</c:v>
                </c:pt>
                <c:pt idx="107">
                  <c:v>177.54083968631966</c:v>
                </c:pt>
                <c:pt idx="108">
                  <c:v>177.98673603424092</c:v>
                </c:pt>
                <c:pt idx="109">
                  <c:v>178.43205383395684</c:v>
                </c:pt>
                <c:pt idx="110">
                  <c:v>178.87679221086907</c:v>
                </c:pt>
                <c:pt idx="111">
                  <c:v>179.32095309314826</c:v>
                </c:pt>
                <c:pt idx="112">
                  <c:v>179.76453839992726</c:v>
                </c:pt>
                <c:pt idx="113">
                  <c:v>180.20755004135864</c:v>
                </c:pt>
                <c:pt idx="114">
                  <c:v>180.64998991867171</c:v>
                </c:pt>
                <c:pt idx="115">
                  <c:v>181.09185992422911</c:v>
                </c:pt>
                <c:pt idx="116">
                  <c:v>181.53316194158288</c:v>
                </c:pt>
                <c:pt idx="117">
                  <c:v>181.97389784553019</c:v>
                </c:pt>
                <c:pt idx="118">
                  <c:v>182.41406950216859</c:v>
                </c:pt>
                <c:pt idx="119">
                  <c:v>182.85367876895074</c:v>
                </c:pt>
                <c:pt idx="120">
                  <c:v>183.2927274947389</c:v>
                </c:pt>
                <c:pt idx="121">
                  <c:v>183.73121751985872</c:v>
                </c:pt>
                <c:pt idx="122">
                  <c:v>184.16915067615287</c:v>
                </c:pt>
                <c:pt idx="123">
                  <c:v>184.60652878703416</c:v>
                </c:pt>
                <c:pt idx="124">
                  <c:v>185.04335366753816</c:v>
                </c:pt>
                <c:pt idx="125">
                  <c:v>185.47962712437547</c:v>
                </c:pt>
                <c:pt idx="126">
                  <c:v>185.91535095598363</c:v>
                </c:pt>
                <c:pt idx="127">
                  <c:v>186.35052695257855</c:v>
                </c:pt>
                <c:pt idx="128">
                  <c:v>186.78515689620559</c:v>
                </c:pt>
                <c:pt idx="129">
                  <c:v>187.21924256079021</c:v>
                </c:pt>
                <c:pt idx="130">
                  <c:v>187.65278571218821</c:v>
                </c:pt>
                <c:pt idx="131">
                  <c:v>188.0857881082357</c:v>
                </c:pt>
                <c:pt idx="132">
                  <c:v>188.51825149879852</c:v>
                </c:pt>
                <c:pt idx="133">
                  <c:v>188.95017762582134</c:v>
                </c:pt>
                <c:pt idx="134">
                  <c:v>189.38156822337649</c:v>
                </c:pt>
                <c:pt idx="135">
                  <c:v>189.8124250177122</c:v>
                </c:pt>
                <c:pt idx="136">
                  <c:v>190.24274972730069</c:v>
                </c:pt>
                <c:pt idx="137">
                  <c:v>190.67254406288572</c:v>
                </c:pt>
                <c:pt idx="138">
                  <c:v>191.10180972752988</c:v>
                </c:pt>
                <c:pt idx="139">
                  <c:v>191.53054841666147</c:v>
                </c:pt>
                <c:pt idx="140">
                  <c:v>191.95876181812105</c:v>
                </c:pt>
                <c:pt idx="141">
                  <c:v>192.38645161220762</c:v>
                </c:pt>
                <c:pt idx="142">
                  <c:v>192.81361947172445</c:v>
                </c:pt>
                <c:pt idx="143">
                  <c:v>193.24026706202451</c:v>
                </c:pt>
                <c:pt idx="144">
                  <c:v>193.66639604105572</c:v>
                </c:pt>
                <c:pt idx="145">
                  <c:v>194.0920080594056</c:v>
                </c:pt>
                <c:pt idx="146">
                  <c:v>194.51710476034583</c:v>
                </c:pt>
                <c:pt idx="147">
                  <c:v>194.94168777987636</c:v>
                </c:pt>
                <c:pt idx="148">
                  <c:v>195.36575874676916</c:v>
                </c:pt>
                <c:pt idx="149">
                  <c:v>195.7893192826117</c:v>
                </c:pt>
                <c:pt idx="150">
                  <c:v>196.21237100185007</c:v>
                </c:pt>
                <c:pt idx="151">
                  <c:v>196.63491551183176</c:v>
                </c:pt>
                <c:pt idx="152">
                  <c:v>197.05695441284823</c:v>
                </c:pt>
                <c:pt idx="153">
                  <c:v>197.47848929817698</c:v>
                </c:pt>
                <c:pt idx="154">
                  <c:v>197.89952175412347</c:v>
                </c:pt>
                <c:pt idx="155">
                  <c:v>198.32005336006262</c:v>
                </c:pt>
                <c:pt idx="156">
                  <c:v>198.74008568848004</c:v>
                </c:pt>
                <c:pt idx="157">
                  <c:v>199.15962030501302</c:v>
                </c:pt>
                <c:pt idx="158">
                  <c:v>199.57865876849107</c:v>
                </c:pt>
                <c:pt idx="159">
                  <c:v>199.99720263097626</c:v>
                </c:pt>
                <c:pt idx="160">
                  <c:v>200.41525343780327</c:v>
                </c:pt>
                <c:pt idx="161">
                  <c:v>200.83281272761911</c:v>
                </c:pt>
                <c:pt idx="162">
                  <c:v>201.24988203242248</c:v>
                </c:pt>
                <c:pt idx="163">
                  <c:v>201.66646287760301</c:v>
                </c:pt>
                <c:pt idx="164">
                  <c:v>202.08255678198006</c:v>
                </c:pt>
                <c:pt idx="165">
                  <c:v>202.49816525784129</c:v>
                </c:pt>
                <c:pt idx="166">
                  <c:v>202.91328981098096</c:v>
                </c:pt>
                <c:pt idx="167">
                  <c:v>203.32793194073787</c:v>
                </c:pt>
                <c:pt idx="168">
                  <c:v>203.74209314003321</c:v>
                </c:pt>
                <c:pt idx="169">
                  <c:v>204.15577489540789</c:v>
                </c:pt>
                <c:pt idx="170">
                  <c:v>204.5689786870598</c:v>
                </c:pt>
                <c:pt idx="171">
                  <c:v>204.98170598888061</c:v>
                </c:pt>
                <c:pt idx="172">
                  <c:v>205.39395826849255</c:v>
                </c:pt>
                <c:pt idx="173">
                  <c:v>205.80573698728466</c:v>
                </c:pt>
                <c:pt idx="174">
                  <c:v>206.21704360044896</c:v>
                </c:pt>
                <c:pt idx="175">
                  <c:v>206.62787955701626</c:v>
                </c:pt>
                <c:pt idx="176">
                  <c:v>207.03824629989177</c:v>
                </c:pt>
                <c:pt idx="177">
                  <c:v>207.44814526589045</c:v>
                </c:pt>
                <c:pt idx="178">
                  <c:v>207.85757788577203</c:v>
                </c:pt>
                <c:pt idx="179">
                  <c:v>208.26654558427589</c:v>
                </c:pt>
                <c:pt idx="180">
                  <c:v>208.67504978015558</c:v>
                </c:pt>
                <c:pt idx="181">
                  <c:v>209.08309188621317</c:v>
                </c:pt>
                <c:pt idx="182">
                  <c:v>209.49067330933332</c:v>
                </c:pt>
                <c:pt idx="183">
                  <c:v>209.89779545051715</c:v>
                </c:pt>
                <c:pt idx="184">
                  <c:v>210.30445970491576</c:v>
                </c:pt>
                <c:pt idx="185">
                  <c:v>210.71066746186366</c:v>
                </c:pt>
                <c:pt idx="186">
                  <c:v>211.11642010491184</c:v>
                </c:pt>
                <c:pt idx="187">
                  <c:v>211.52171901186063</c:v>
                </c:pt>
                <c:pt idx="188">
                  <c:v>211.9265655547924</c:v>
                </c:pt>
                <c:pt idx="189">
                  <c:v>212.33096110010396</c:v>
                </c:pt>
                <c:pt idx="190">
                  <c:v>212.73490700853873</c:v>
                </c:pt>
                <c:pt idx="191">
                  <c:v>213.13840463521865</c:v>
                </c:pt>
                <c:pt idx="192">
                  <c:v>213.54145532967601</c:v>
                </c:pt>
                <c:pt idx="193">
                  <c:v>213.94406043588489</c:v>
                </c:pt>
                <c:pt idx="194">
                  <c:v>214.34622129229246</c:v>
                </c:pt>
                <c:pt idx="195">
                  <c:v>214.74793923185004</c:v>
                </c:pt>
                <c:pt idx="196">
                  <c:v>215.14921558204398</c:v>
                </c:pt>
                <c:pt idx="197">
                  <c:v>215.55005166492626</c:v>
                </c:pt>
                <c:pt idx="198">
                  <c:v>215.95044879714487</c:v>
                </c:pt>
                <c:pt idx="199">
                  <c:v>216.3504082899741</c:v>
                </c:pt>
                <c:pt idx="200">
                  <c:v>216.74993144934444</c:v>
                </c:pt>
                <c:pt idx="201">
                  <c:v>220.72126544097719</c:v>
                </c:pt>
                <c:pt idx="202">
                  <c:v>224.64980262884851</c:v>
                </c:pt>
                <c:pt idx="203">
                  <c:v>228.5368006064806</c:v>
                </c:pt>
                <c:pt idx="204">
                  <c:v>232.38346720717126</c:v>
                </c:pt>
                <c:pt idx="205">
                  <c:v>236.19096317416117</c:v>
                </c:pt>
                <c:pt idx="206">
                  <c:v>239.96040465358703</c:v>
                </c:pt>
                <c:pt idx="207">
                  <c:v>243.69286552420539</c:v>
                </c:pt>
                <c:pt idx="208">
                  <c:v>247.38937957659493</c:v>
                </c:pt>
                <c:pt idx="209">
                  <c:v>251.0509425534002</c:v>
                </c:pt>
                <c:pt idx="210">
                  <c:v>254.67851406115093</c:v>
                </c:pt>
                <c:pt idx="211">
                  <c:v>258.27301936326637</c:v>
                </c:pt>
                <c:pt idx="212">
                  <c:v>261.8353510630206</c:v>
                </c:pt>
                <c:pt idx="213">
                  <c:v>265.36637068449318</c:v>
                </c:pt>
                <c:pt idx="214">
                  <c:v>268.86691015885071</c:v>
                </c:pt>
                <c:pt idx="215">
                  <c:v>272.33777322269049</c:v>
                </c:pt>
                <c:pt idx="216">
                  <c:v>275.77973673462174</c:v>
                </c:pt>
                <c:pt idx="217">
                  <c:v>279.19355191575568</c:v>
                </c:pt>
                <c:pt idx="218">
                  <c:v>282.57994551931705</c:v>
                </c:pt>
                <c:pt idx="219">
                  <c:v>285.93962093417503</c:v>
                </c:pt>
                <c:pt idx="220">
                  <c:v>289.27325922671099</c:v>
                </c:pt>
                <c:pt idx="221">
                  <c:v>292.58152012509709</c:v>
                </c:pt>
                <c:pt idx="222">
                  <c:v>295.86504294974338</c:v>
                </c:pt>
                <c:pt idx="223">
                  <c:v>299.12444749338493</c:v>
                </c:pt>
                <c:pt idx="224">
                  <c:v>302.36033485401629</c:v>
                </c:pt>
                <c:pt idx="225">
                  <c:v>305.57328822364133</c:v>
                </c:pt>
                <c:pt idx="226">
                  <c:v>308.76387363558467</c:v>
                </c:pt>
                <c:pt idx="227">
                  <c:v>311.93264067290971</c:v>
                </c:pt>
                <c:pt idx="228">
                  <c:v>315.08012314030179</c:v>
                </c:pt>
                <c:pt idx="229">
                  <c:v>318.20683970160491</c:v>
                </c:pt>
                <c:pt idx="230">
                  <c:v>321.31329448504209</c:v>
                </c:pt>
                <c:pt idx="231">
                  <c:v>324.39997765800632</c:v>
                </c:pt>
                <c:pt idx="232">
                  <c:v>327.46736597317351</c:v>
                </c:pt>
                <c:pt idx="233">
                  <c:v>330.51592328756709</c:v>
                </c:pt>
                <c:pt idx="234">
                  <c:v>333.54610105608856</c:v>
                </c:pt>
                <c:pt idx="235">
                  <c:v>336.55833880092348</c:v>
                </c:pt>
                <c:pt idx="236">
                  <c:v>339.55306455813383</c:v>
                </c:pt>
                <c:pt idx="237">
                  <c:v>342.53069530265736</c:v>
                </c:pt>
                <c:pt idx="238">
                  <c:v>345.49163735284912</c:v>
                </c:pt>
                <c:pt idx="239">
                  <c:v>348.4362867556228</c:v>
                </c:pt>
                <c:pt idx="240">
                  <c:v>351.36502965317521</c:v>
                </c:pt>
                <c:pt idx="241">
                  <c:v>354.27824263220907</c:v>
                </c:pt>
                <c:pt idx="242">
                  <c:v>357.17629305650513</c:v>
                </c:pt>
                <c:pt idx="243">
                  <c:v>360.05953938363461</c:v>
                </c:pt>
                <c:pt idx="244">
                  <c:v>362.92833146654601</c:v>
                </c:pt>
                <c:pt idx="245">
                  <c:v>365.78301084070779</c:v>
                </c:pt>
                <c:pt idx="246">
                  <c:v>368.62391099743769</c:v>
                </c:pt>
                <c:pt idx="247">
                  <c:v>371.4513576440022</c:v>
                </c:pt>
                <c:pt idx="248">
                  <c:v>374.26566895102451</c:v>
                </c:pt>
                <c:pt idx="249">
                  <c:v>377.06715578769604</c:v>
                </c:pt>
                <c:pt idx="250">
                  <c:v>379.85612194524657</c:v>
                </c:pt>
                <c:pt idx="251">
                  <c:v>382.63286434908736</c:v>
                </c:pt>
                <c:pt idx="252">
                  <c:v>385.39767326000498</c:v>
                </c:pt>
                <c:pt idx="253">
                  <c:v>388.15083246474666</c:v>
                </c:pt>
                <c:pt idx="254">
                  <c:v>390.8926194563025</c:v>
                </c:pt>
                <c:pt idx="255">
                  <c:v>393.62330560415586</c:v>
                </c:pt>
                <c:pt idx="256">
                  <c:v>396.34315631473942</c:v>
                </c:pt>
                <c:pt idx="257">
                  <c:v>399.05243118230163</c:v>
                </c:pt>
                <c:pt idx="258">
                  <c:v>401.75138413035609</c:v>
                </c:pt>
                <c:pt idx="259">
                  <c:v>404.44026354385426</c:v>
                </c:pt>
                <c:pt idx="260">
                  <c:v>407.11931239219098</c:v>
                </c:pt>
                <c:pt idx="261">
                  <c:v>409.78876834312001</c:v>
                </c:pt>
                <c:pt idx="262">
                  <c:v>412.44886386762721</c:v>
                </c:pt>
                <c:pt idx="263">
                  <c:v>415.09982633577721</c:v>
                </c:pt>
                <c:pt idx="264">
                  <c:v>417.74187810351981</c:v>
                </c:pt>
                <c:pt idx="265">
                  <c:v>420.37523659041216</c:v>
                </c:pt>
                <c:pt idx="266">
                  <c:v>423.00011434818322</c:v>
                </c:pt>
                <c:pt idx="267">
                  <c:v>425.61671912003868</c:v>
                </c:pt>
                <c:pt idx="268">
                  <c:v>428.22525389057716</c:v>
                </c:pt>
                <c:pt idx="269">
                  <c:v>430.82591692616262</c:v>
                </c:pt>
                <c:pt idx="270">
                  <c:v>433.41890180557374</c:v>
                </c:pt>
                <c:pt idx="271">
                  <c:v>436.00439744073111</c:v>
                </c:pt>
                <c:pt idx="272">
                  <c:v>438.58258808728488</c:v>
                </c:pt>
                <c:pt idx="273">
                  <c:v>441.15365334483482</c:v>
                </c:pt>
                <c:pt idx="274">
                  <c:v>443.71776814654748</c:v>
                </c:pt>
                <c:pt idx="275">
                  <c:v>446.27510273793825</c:v>
                </c:pt>
                <c:pt idx="276">
                  <c:v>448.82582264459779</c:v>
                </c:pt>
                <c:pt idx="277">
                  <c:v>451.37008862866662</c:v>
                </c:pt>
                <c:pt idx="278">
                  <c:v>453.90805663390029</c:v>
                </c:pt>
                <c:pt idx="279">
                  <c:v>456.43987771922394</c:v>
                </c:pt>
                <c:pt idx="280">
                  <c:v>458.96569798075319</c:v>
                </c:pt>
                <c:pt idx="281">
                  <c:v>461.48565846235715</c:v>
                </c:pt>
                <c:pt idx="282">
                  <c:v>463.99989505497024</c:v>
                </c:pt>
                <c:pt idx="283">
                  <c:v>466.50853838501558</c:v>
                </c:pt>
                <c:pt idx="284">
                  <c:v>469.01171369249482</c:v>
                </c:pt>
                <c:pt idx="285">
                  <c:v>471.50954069952513</c:v>
                </c:pt>
                <c:pt idx="286">
                  <c:v>474.00213347036265</c:v>
                </c:pt>
                <c:pt idx="287">
                  <c:v>476.48960026424618</c:v>
                </c:pt>
                <c:pt idx="288">
                  <c:v>478.97204338271513</c:v>
                </c:pt>
                <c:pt idx="289">
                  <c:v>481.44955901339995</c:v>
                </c:pt>
                <c:pt idx="290">
                  <c:v>483.92223707263588</c:v>
                </c:pt>
                <c:pt idx="291">
                  <c:v>486.3901610496016</c:v>
                </c:pt>
                <c:pt idx="292">
                  <c:v>488.85340785500983</c:v>
                </c:pt>
                <c:pt idx="293">
                  <c:v>491.31204767766087</c:v>
                </c:pt>
                <c:pt idx="294">
                  <c:v>493.76614385238219</c:v>
                </c:pt>
                <c:pt idx="295">
                  <c:v>496.2157527429984</c:v>
                </c:pt>
                <c:pt idx="296">
                  <c:v>498.66092364397997</c:v>
                </c:pt>
                <c:pt idx="297">
                  <c:v>501.10169870428678</c:v>
                </c:pt>
                <c:pt idx="298">
                  <c:v>503.53811287664576</c:v>
                </c:pt>
                <c:pt idx="299">
                  <c:v>505.970193895075</c:v>
                </c:pt>
                <c:pt idx="300">
                  <c:v>508.39796228290089</c:v>
                </c:pt>
                <c:pt idx="301">
                  <c:v>510.8214313928309</c:v>
                </c:pt>
                <c:pt idx="302">
                  <c:v>513.2406074798746</c:v>
                </c:pt>
                <c:pt idx="303">
                  <c:v>515.65548980708843</c:v>
                </c:pt>
                <c:pt idx="304">
                  <c:v>518.06607078330262</c:v>
                </c:pt>
                <c:pt idx="305">
                  <c:v>520.47233613121614</c:v>
                </c:pt>
                <c:pt idx="306">
                  <c:v>522.87426508355588</c:v>
                </c:pt>
                <c:pt idx="307">
                  <c:v>525.27183060442974</c:v>
                </c:pt>
                <c:pt idx="308">
                  <c:v>527.66499963257172</c:v>
                </c:pt>
                <c:pt idx="309">
                  <c:v>530.0537333429038</c:v>
                </c:pt>
                <c:pt idx="310">
                  <c:v>532.43798742270974</c:v>
                </c:pt>
                <c:pt idx="311">
                  <c:v>534.81771235873168</c:v>
                </c:pt>
                <c:pt idx="312">
                  <c:v>537.19285373163211</c:v>
                </c:pt>
                <c:pt idx="313">
                  <c:v>539.56335251449434</c:v>
                </c:pt>
                <c:pt idx="314">
                  <c:v>541.92914537233764</c:v>
                </c:pt>
                <c:pt idx="315">
                  <c:v>544.29016495996825</c:v>
                </c:pt>
                <c:pt idx="316">
                  <c:v>546.6463402158621</c:v>
                </c:pt>
                <c:pt idx="317">
                  <c:v>548.99759665014653</c:v>
                </c:pt>
                <c:pt idx="318">
                  <c:v>551.34385662511283</c:v>
                </c:pt>
                <c:pt idx="319">
                  <c:v>553.68503962703096</c:v>
                </c:pt>
                <c:pt idx="320">
                  <c:v>556.02106252834596</c:v>
                </c:pt>
                <c:pt idx="321">
                  <c:v>558.3518398396094</c:v>
                </c:pt>
                <c:pt idx="322">
                  <c:v>560.6772839507355</c:v>
                </c:pt>
                <c:pt idx="323">
                  <c:v>562.99730536137247</c:v>
                </c:pt>
                <c:pt idx="324">
                  <c:v>565.31181290034476</c:v>
                </c:pt>
                <c:pt idx="325">
                  <c:v>567.62071393425606</c:v>
                </c:pt>
                <c:pt idx="326">
                  <c:v>569.92391456544863</c:v>
                </c:pt>
                <c:pt idx="327">
                  <c:v>572.2213198195949</c:v>
                </c:pt>
                <c:pt idx="328">
                  <c:v>574.51283382325812</c:v>
                </c:pt>
                <c:pt idx="329">
                  <c:v>576.79835997179919</c:v>
                </c:pt>
                <c:pt idx="330">
                  <c:v>579.07780108803445</c:v>
                </c:pt>
                <c:pt idx="331">
                  <c:v>581.35105957206497</c:v>
                </c:pt>
                <c:pt idx="332">
                  <c:v>583.61803754270181</c:v>
                </c:pt>
                <c:pt idx="333">
                  <c:v>585.87863697091154</c:v>
                </c:pt>
                <c:pt idx="334">
                  <c:v>588.13275980569688</c:v>
                </c:pt>
                <c:pt idx="335">
                  <c:v>590.38030809281736</c:v>
                </c:pt>
                <c:pt idx="336">
                  <c:v>592.62118408673791</c:v>
                </c:pt>
                <c:pt idx="337">
                  <c:v>594.85529035617833</c:v>
                </c:pt>
                <c:pt idx="338">
                  <c:v>597.08252988361608</c:v>
                </c:pt>
                <c:pt idx="339">
                  <c:v>599.3028061590785</c:v>
                </c:pt>
                <c:pt idx="340">
                  <c:v>601.5160232685389</c:v>
                </c:pt>
                <c:pt idx="341">
                  <c:v>603.72208597721396</c:v>
                </c:pt>
                <c:pt idx="342">
                  <c:v>605.92089980803996</c:v>
                </c:pt>
                <c:pt idx="343">
                  <c:v>608.11237111558921</c:v>
                </c:pt>
                <c:pt idx="344">
                  <c:v>610.29640715566859</c:v>
                </c:pt>
                <c:pt idx="345">
                  <c:v>612.47291615082838</c:v>
                </c:pt>
                <c:pt idx="346">
                  <c:v>614.64180735199295</c:v>
                </c:pt>
                <c:pt idx="347">
                  <c:v>616.80299109640964</c:v>
                </c:pt>
                <c:pt idx="348">
                  <c:v>618.95637886210181</c:v>
                </c:pt>
                <c:pt idx="349">
                  <c:v>621.10188331899553</c:v>
                </c:pt>
                <c:pt idx="350">
                  <c:v>623.23941837688176</c:v>
                </c:pt>
                <c:pt idx="351">
                  <c:v>625.36889923036119</c:v>
                </c:pt>
                <c:pt idx="352">
                  <c:v>627.49024240091308</c:v>
                </c:pt>
                <c:pt idx="353">
                  <c:v>629.60336577621661</c:v>
                </c:pt>
                <c:pt idx="354">
                  <c:v>631.70818864684713</c:v>
                </c:pt>
                <c:pt idx="355">
                  <c:v>633.80463174046156</c:v>
                </c:pt>
                <c:pt idx="356">
                  <c:v>635.89261725357881</c:v>
                </c:pt>
                <c:pt idx="357">
                  <c:v>637.97206888105643</c:v>
                </c:pt>
                <c:pt idx="358">
                  <c:v>640.04291184335773</c:v>
                </c:pt>
                <c:pt idx="359">
                  <c:v>642.10507291169733</c:v>
                </c:pt>
                <c:pt idx="360">
                  <c:v>644.15848043115022</c:v>
                </c:pt>
                <c:pt idx="361">
                  <c:v>646.20306434180213</c:v>
                </c:pt>
                <c:pt idx="362">
                  <c:v>648.23875619801765</c:v>
                </c:pt>
                <c:pt idx="363">
                  <c:v>650.26548918589583</c:v>
                </c:pt>
                <c:pt idx="364">
                  <c:v>652.28319813898167</c:v>
                </c:pt>
                <c:pt idx="365">
                  <c:v>654.29181955229774</c:v>
                </c:pt>
                <c:pt idx="366">
                  <c:v>656.29129159475679</c:v>
                </c:pt>
                <c:pt idx="367">
                  <c:v>658.28155412001422</c:v>
                </c:pt>
                <c:pt idx="368">
                  <c:v>660.26254867581702</c:v>
                </c:pt>
                <c:pt idx="369">
                  <c:v>662.23421851190176</c:v>
                </c:pt>
                <c:pt idx="370">
                  <c:v>664.1965085864947</c:v>
                </c:pt>
                <c:pt idx="371">
                  <c:v>666.14936557146279</c:v>
                </c:pt>
                <c:pt idx="372">
                  <c:v>668.09273785616369</c:v>
                </c:pt>
                <c:pt idx="373">
                  <c:v>670.026575550041</c:v>
                </c:pt>
                <c:pt idx="374">
                  <c:v>671.95083048401</c:v>
                </c:pt>
                <c:pt idx="375">
                  <c:v>673.86545621067637</c:v>
                </c:pt>
                <c:pt idx="376">
                  <c:v>675.77040800342991</c:v>
                </c:pt>
                <c:pt idx="377">
                  <c:v>677.66564285445486</c:v>
                </c:pt>
                <c:pt idx="378">
                  <c:v>679.55111947169496</c:v>
                </c:pt>
                <c:pt idx="379">
                  <c:v>681.42679827481334</c:v>
                </c:pt>
                <c:pt idx="380">
                  <c:v>683.29264139018278</c:v>
                </c:pt>
                <c:pt idx="381">
                  <c:v>685.14861264494471</c:v>
                </c:pt>
                <c:pt idx="382">
                  <c:v>686.99467756017134</c:v>
                </c:pt>
                <c:pt idx="383">
                  <c:v>688.8308033431656</c:v>
                </c:pt>
                <c:pt idx="384">
                  <c:v>690.65695887893366</c:v>
                </c:pt>
                <c:pt idx="385">
                  <c:v>692.4731147208621</c:v>
                </c:pt>
                <c:pt idx="386">
                  <c:v>694.27924308063268</c:v>
                </c:pt>
                <c:pt idx="387">
                  <c:v>696.07531781740647</c:v>
                </c:pt>
                <c:pt idx="388">
                  <c:v>697.86131442630756</c:v>
                </c:pt>
                <c:pt idx="389">
                  <c:v>699.63721002623743</c:v>
                </c:pt>
                <c:pt idx="390">
                  <c:v>701.40298334704903</c:v>
                </c:pt>
                <c:pt idx="391">
                  <c:v>703.15861471610958</c:v>
                </c:pt>
                <c:pt idx="392">
                  <c:v>704.90408604428092</c:v>
                </c:pt>
                <c:pt idx="393">
                  <c:v>706.63938081134449</c:v>
                </c:pt>
                <c:pt idx="394">
                  <c:v>708.36448405089891</c:v>
                </c:pt>
                <c:pt idx="395">
                  <c:v>710.07938233475579</c:v>
                </c:pt>
                <c:pt idx="396">
                  <c:v>711.78406375686052</c:v>
                </c:pt>
                <c:pt idx="397">
                  <c:v>713.47851791676317</c:v>
                </c:pt>
                <c:pt idx="398">
                  <c:v>715.16273590266462</c:v>
                </c:pt>
                <c:pt idx="399">
                  <c:v>716.83671027406183</c:v>
                </c:pt>
                <c:pt idx="400">
                  <c:v>718.50043504401651</c:v>
                </c:pt>
                <c:pt idx="401">
                  <c:v>720.15390566107033</c:v>
                </c:pt>
                <c:pt idx="402">
                  <c:v>721.79711899082906</c:v>
                </c:pt>
                <c:pt idx="403">
                  <c:v>723.43007329723844</c:v>
                </c:pt>
                <c:pt idx="404">
                  <c:v>725.05276822357314</c:v>
                </c:pt>
                <c:pt idx="405">
                  <c:v>726.66520477315964</c:v>
                </c:pt>
                <c:pt idx="406">
                  <c:v>728.26738528985436</c:v>
                </c:pt>
                <c:pt idx="407">
                  <c:v>729.85931343829679</c:v>
                </c:pt>
                <c:pt idx="408">
                  <c:v>731.44099418395706</c:v>
                </c:pt>
                <c:pt idx="409">
                  <c:v>733.0124337729975</c:v>
                </c:pt>
                <c:pt idx="410">
                  <c:v>734.57363971196639</c:v>
                </c:pt>
                <c:pt idx="411">
                  <c:v>736.12462074734276</c:v>
                </c:pt>
                <c:pt idx="412">
                  <c:v>737.66538684494822</c:v>
                </c:pt>
                <c:pt idx="413">
                  <c:v>739.1959491692453</c:v>
                </c:pt>
                <c:pt idx="414">
                  <c:v>740.71632006253662</c:v>
                </c:pt>
                <c:pt idx="415">
                  <c:v>742.22651302408303</c:v>
                </c:pt>
                <c:pt idx="416">
                  <c:v>743.72654268915448</c:v>
                </c:pt>
                <c:pt idx="417">
                  <c:v>745.21642480803064</c:v>
                </c:pt>
                <c:pt idx="418">
                  <c:v>746.69617622496457</c:v>
                </c:pt>
                <c:pt idx="419">
                  <c:v>748.16581485712459</c:v>
                </c:pt>
                <c:pt idx="420">
                  <c:v>749.6253596735279</c:v>
                </c:pt>
                <c:pt idx="421">
                  <c:v>751.07483067397891</c:v>
                </c:pt>
                <c:pt idx="422">
                  <c:v>752.51424886802545</c:v>
                </c:pt>
                <c:pt idx="423">
                  <c:v>753.94363625394556</c:v>
                </c:pt>
                <c:pt idx="424">
                  <c:v>755.36301579777671</c:v>
                </c:pt>
                <c:pt idx="425">
                  <c:v>756.77241141239824</c:v>
                </c:pt>
                <c:pt idx="426">
                  <c:v>758.17184793667968</c:v>
                </c:pt>
                <c:pt idx="427">
                  <c:v>759.56135111470394</c:v>
                </c:pt>
                <c:pt idx="428">
                  <c:v>760.94094757507708</c:v>
                </c:pt>
                <c:pt idx="429">
                  <c:v>762.31066481033349</c:v>
                </c:pt>
                <c:pt idx="430">
                  <c:v>763.6705311564466</c:v>
                </c:pt>
                <c:pt idx="431">
                  <c:v>765.02057577245387</c:v>
                </c:pt>
                <c:pt idx="432">
                  <c:v>766.36082862020498</c:v>
                </c:pt>
                <c:pt idx="433">
                  <c:v>767.69132044424111</c:v>
                </c:pt>
                <c:pt idx="434">
                  <c:v>769.01208275181318</c:v>
                </c:pt>
                <c:pt idx="435">
                  <c:v>770.32314779304761</c:v>
                </c:pt>
                <c:pt idx="436">
                  <c:v>771.6245485412652</c:v>
                </c:pt>
                <c:pt idx="437">
                  <c:v>772.91631867346109</c:v>
                </c:pt>
                <c:pt idx="438">
                  <c:v>774.19849255095198</c:v>
                </c:pt>
                <c:pt idx="439">
                  <c:v>775.47110520019601</c:v>
                </c:pt>
                <c:pt idx="440">
                  <c:v>776.73419229379272</c:v>
                </c:pt>
                <c:pt idx="441">
                  <c:v>777.98779013166666</c:v>
                </c:pt>
                <c:pt idx="442">
                  <c:v>779.23193562244069</c:v>
                </c:pt>
                <c:pt idx="443">
                  <c:v>780.46666626500451</c:v>
                </c:pt>
                <c:pt idx="444">
                  <c:v>781.69202013028098</c:v>
                </c:pt>
                <c:pt idx="445">
                  <c:v>782.90803584319679</c:v>
                </c:pt>
                <c:pt idx="446">
                  <c:v>784.11475256485915</c:v>
                </c:pt>
                <c:pt idx="447">
                  <c:v>785.31220997494415</c:v>
                </c:pt>
                <c:pt idx="448">
                  <c:v>786.50044825429848</c:v>
                </c:pt>
                <c:pt idx="449">
                  <c:v>787.67950806775877</c:v>
                </c:pt>
                <c:pt idx="450">
                  <c:v>788.84943054719088</c:v>
                </c:pt>
                <c:pt idx="451">
                  <c:v>790.01025727475167</c:v>
                </c:pt>
                <c:pt idx="452">
                  <c:v>791.16203026637584</c:v>
                </c:pt>
                <c:pt idx="453">
                  <c:v>792.30479195548992</c:v>
                </c:pt>
                <c:pt idx="454">
                  <c:v>793.43858517695492</c:v>
                </c:pt>
                <c:pt idx="455">
                  <c:v>794.56345315123963</c:v>
                </c:pt>
                <c:pt idx="456">
                  <c:v>795.6794394688261</c:v>
                </c:pt>
                <c:pt idx="457">
                  <c:v>796.78658807484828</c:v>
                </c:pt>
                <c:pt idx="458">
                  <c:v>797.88494325396482</c:v>
                </c:pt>
                <c:pt idx="459">
                  <c:v>798.9745496154668</c:v>
                </c:pt>
                <c:pt idx="460">
                  <c:v>800.05545207862156</c:v>
                </c:pt>
                <c:pt idx="461">
                  <c:v>801.12769585825242</c:v>
                </c:pt>
                <c:pt idx="462">
                  <c:v>802.1913264505547</c:v>
                </c:pt>
                <c:pt idx="463">
                  <c:v>803.24638961914877</c:v>
                </c:pt>
                <c:pt idx="464">
                  <c:v>804.29293138136916</c:v>
                </c:pt>
                <c:pt idx="465">
                  <c:v>805.33099799479021</c:v>
                </c:pt>
                <c:pt idx="466">
                  <c:v>806.36063594398763</c:v>
                </c:pt>
                <c:pt idx="467">
                  <c:v>807.38189192753555</c:v>
                </c:pt>
                <c:pt idx="468">
                  <c:v>808.39481284523811</c:v>
                </c:pt>
                <c:pt idx="469">
                  <c:v>809.39944578559562</c:v>
                </c:pt>
                <c:pt idx="470">
                  <c:v>810.39583801350364</c:v>
                </c:pt>
                <c:pt idx="471">
                  <c:v>811.38403695818386</c:v>
                </c:pt>
                <c:pt idx="472">
                  <c:v>812.3640902013467</c:v>
                </c:pt>
                <c:pt idx="473">
                  <c:v>813.33604546558342</c:v>
                </c:pt>
                <c:pt idx="474">
                  <c:v>814.29995060298643</c:v>
                </c:pt>
                <c:pt idx="475">
                  <c:v>815.25585358399701</c:v>
                </c:pt>
                <c:pt idx="476">
                  <c:v>816.20380248647871</c:v>
                </c:pt>
                <c:pt idx="477">
                  <c:v>817.1438454850138</c:v>
                </c:pt>
                <c:pt idx="478">
                  <c:v>818.07603084042307</c:v>
                </c:pt>
                <c:pt idx="479">
                  <c:v>819.00040688950526</c:v>
                </c:pt>
                <c:pt idx="480">
                  <c:v>819.91702203499517</c:v>
                </c:pt>
                <c:pt idx="481">
                  <c:v>820.82592473573891</c:v>
                </c:pt>
                <c:pt idx="482">
                  <c:v>821.7271634970831</c:v>
                </c:pt>
                <c:pt idx="483">
                  <c:v>822.62078686147743</c:v>
                </c:pt>
                <c:pt idx="484">
                  <c:v>823.50684339928705</c:v>
                </c:pt>
                <c:pt idx="485">
                  <c:v>824.38538169981382</c:v>
                </c:pt>
                <c:pt idx="486">
                  <c:v>825.25645036252365</c:v>
                </c:pt>
                <c:pt idx="487">
                  <c:v>826.12009798847737</c:v>
                </c:pt>
                <c:pt idx="488">
                  <c:v>826.97637317196347</c:v>
                </c:pt>
                <c:pt idx="489">
                  <c:v>827.8253244923302</c:v>
                </c:pt>
                <c:pt idx="490">
                  <c:v>828.66700050601457</c:v>
                </c:pt>
                <c:pt idx="491">
                  <c:v>829.50144973876525</c:v>
                </c:pt>
                <c:pt idx="492">
                  <c:v>830.32872067805829</c:v>
                </c:pt>
                <c:pt idx="493">
                  <c:v>831.14886176570212</c:v>
                </c:pt>
                <c:pt idx="494">
                  <c:v>831.96192139062953</c:v>
                </c:pt>
                <c:pt idx="495">
                  <c:v>832.76794788187408</c:v>
                </c:pt>
                <c:pt idx="496">
                  <c:v>833.56698950172938</c:v>
                </c:pt>
                <c:pt idx="497">
                  <c:v>834.35909443908702</c:v>
                </c:pt>
                <c:pt idx="498">
                  <c:v>835.14431080295185</c:v>
                </c:pt>
                <c:pt idx="499">
                  <c:v>835.92268661613173</c:v>
                </c:pt>
                <c:pt idx="500">
                  <c:v>836.69426980909907</c:v>
                </c:pt>
                <c:pt idx="501">
                  <c:v>837.45910821402163</c:v>
                </c:pt>
                <c:pt idx="502">
                  <c:v>838.21724955895991</c:v>
                </c:pt>
                <c:pt idx="503">
                  <c:v>838.96874146222888</c:v>
                </c:pt>
                <c:pt idx="504">
                  <c:v>839.7136314269211</c:v>
                </c:pt>
                <c:pt idx="505">
                  <c:v>839.7136314269211</c:v>
                </c:pt>
                <c:pt idx="506">
                  <c:v>839.7136314269211</c:v>
                </c:pt>
                <c:pt idx="507">
                  <c:v>839.7136314269211</c:v>
                </c:pt>
                <c:pt idx="508">
                  <c:v>839.7136314269211</c:v>
                </c:pt>
                <c:pt idx="509">
                  <c:v>839.7136314269211</c:v>
                </c:pt>
                <c:pt idx="510">
                  <c:v>839.7136314269211</c:v>
                </c:pt>
                <c:pt idx="511">
                  <c:v>839.7136314269211</c:v>
                </c:pt>
                <c:pt idx="512">
                  <c:v>839.7136314269211</c:v>
                </c:pt>
                <c:pt idx="513">
                  <c:v>839.7136314269211</c:v>
                </c:pt>
                <c:pt idx="514">
                  <c:v>839.7136314269211</c:v>
                </c:pt>
                <c:pt idx="515">
                  <c:v>839.7136314269211</c:v>
                </c:pt>
                <c:pt idx="516">
                  <c:v>839.7136314269211</c:v>
                </c:pt>
                <c:pt idx="517">
                  <c:v>839.7136314269211</c:v>
                </c:pt>
                <c:pt idx="518">
                  <c:v>839.7136314269211</c:v>
                </c:pt>
                <c:pt idx="519">
                  <c:v>839.7136314269211</c:v>
                </c:pt>
                <c:pt idx="520">
                  <c:v>839.7136314269211</c:v>
                </c:pt>
                <c:pt idx="521">
                  <c:v>839.7136314269211</c:v>
                </c:pt>
                <c:pt idx="522">
                  <c:v>839.7136314269211</c:v>
                </c:pt>
                <c:pt idx="523">
                  <c:v>839.7136314269211</c:v>
                </c:pt>
                <c:pt idx="524">
                  <c:v>839.7136314269211</c:v>
                </c:pt>
                <c:pt idx="525">
                  <c:v>839.7136314269211</c:v>
                </c:pt>
                <c:pt idx="526">
                  <c:v>839.7136314269211</c:v>
                </c:pt>
                <c:pt idx="527">
                  <c:v>839.7136314269211</c:v>
                </c:pt>
                <c:pt idx="528">
                  <c:v>839.7136314269211</c:v>
                </c:pt>
                <c:pt idx="529">
                  <c:v>839.7136314269211</c:v>
                </c:pt>
                <c:pt idx="530">
                  <c:v>839.7136314269211</c:v>
                </c:pt>
                <c:pt idx="531">
                  <c:v>839.7136314269211</c:v>
                </c:pt>
                <c:pt idx="532">
                  <c:v>839.7136314269211</c:v>
                </c:pt>
                <c:pt idx="533">
                  <c:v>839.7136314269211</c:v>
                </c:pt>
                <c:pt idx="534">
                  <c:v>839.7136314269211</c:v>
                </c:pt>
                <c:pt idx="535">
                  <c:v>839.7136314269211</c:v>
                </c:pt>
                <c:pt idx="536">
                  <c:v>839.7136314269211</c:v>
                </c:pt>
                <c:pt idx="537">
                  <c:v>839.7136314269211</c:v>
                </c:pt>
                <c:pt idx="538">
                  <c:v>839.7136314269211</c:v>
                </c:pt>
                <c:pt idx="539">
                  <c:v>839.7136314269211</c:v>
                </c:pt>
                <c:pt idx="540">
                  <c:v>839.7136314269211</c:v>
                </c:pt>
                <c:pt idx="541">
                  <c:v>839.7136314269211</c:v>
                </c:pt>
                <c:pt idx="542">
                  <c:v>839.7136314269211</c:v>
                </c:pt>
                <c:pt idx="543">
                  <c:v>839.7136314269211</c:v>
                </c:pt>
                <c:pt idx="544">
                  <c:v>839.7136314269211</c:v>
                </c:pt>
                <c:pt idx="545">
                  <c:v>839.7136314269211</c:v>
                </c:pt>
                <c:pt idx="546">
                  <c:v>839.7136314269211</c:v>
                </c:pt>
                <c:pt idx="547">
                  <c:v>839.7136314269211</c:v>
                </c:pt>
                <c:pt idx="548">
                  <c:v>839.7136314269211</c:v>
                </c:pt>
                <c:pt idx="549">
                  <c:v>839.7136314269211</c:v>
                </c:pt>
                <c:pt idx="550">
                  <c:v>839.7136314269211</c:v>
                </c:pt>
                <c:pt idx="551">
                  <c:v>839.7136314269211</c:v>
                </c:pt>
                <c:pt idx="552">
                  <c:v>839.7136314269211</c:v>
                </c:pt>
                <c:pt idx="553">
                  <c:v>839.7136314269211</c:v>
                </c:pt>
                <c:pt idx="554">
                  <c:v>839.7136314269211</c:v>
                </c:pt>
                <c:pt idx="555">
                  <c:v>839.7136314269211</c:v>
                </c:pt>
                <c:pt idx="556">
                  <c:v>839.7136314269211</c:v>
                </c:pt>
                <c:pt idx="557">
                  <c:v>839.7136314269211</c:v>
                </c:pt>
                <c:pt idx="558">
                  <c:v>839.7136314269211</c:v>
                </c:pt>
                <c:pt idx="559">
                  <c:v>839.7136314269211</c:v>
                </c:pt>
                <c:pt idx="560">
                  <c:v>839.7136314269211</c:v>
                </c:pt>
                <c:pt idx="561">
                  <c:v>839.7136314269211</c:v>
                </c:pt>
                <c:pt idx="562">
                  <c:v>839.7136314269211</c:v>
                </c:pt>
                <c:pt idx="563">
                  <c:v>839.7136314269211</c:v>
                </c:pt>
                <c:pt idx="564">
                  <c:v>839.7136314269211</c:v>
                </c:pt>
                <c:pt idx="565">
                  <c:v>839.7136314269211</c:v>
                </c:pt>
                <c:pt idx="566">
                  <c:v>839.7136314269211</c:v>
                </c:pt>
                <c:pt idx="567">
                  <c:v>839.7136314269211</c:v>
                </c:pt>
                <c:pt idx="568">
                  <c:v>839.7136314269211</c:v>
                </c:pt>
                <c:pt idx="569">
                  <c:v>839.7136314269211</c:v>
                </c:pt>
                <c:pt idx="570">
                  <c:v>839.7136314269211</c:v>
                </c:pt>
                <c:pt idx="571">
                  <c:v>839.7136314269211</c:v>
                </c:pt>
                <c:pt idx="572">
                  <c:v>839.7136314269211</c:v>
                </c:pt>
                <c:pt idx="573">
                  <c:v>839.7136314269211</c:v>
                </c:pt>
                <c:pt idx="574">
                  <c:v>839.7136314269211</c:v>
                </c:pt>
                <c:pt idx="575">
                  <c:v>839.7136314269211</c:v>
                </c:pt>
                <c:pt idx="576">
                  <c:v>839.7136314269211</c:v>
                </c:pt>
                <c:pt idx="577">
                  <c:v>839.7136314269211</c:v>
                </c:pt>
                <c:pt idx="578">
                  <c:v>839.7136314269211</c:v>
                </c:pt>
                <c:pt idx="579">
                  <c:v>839.7136314269211</c:v>
                </c:pt>
                <c:pt idx="580">
                  <c:v>839.7136314269211</c:v>
                </c:pt>
                <c:pt idx="581">
                  <c:v>839.7136314269211</c:v>
                </c:pt>
                <c:pt idx="582">
                  <c:v>839.7136314269211</c:v>
                </c:pt>
                <c:pt idx="583">
                  <c:v>839.7136314269211</c:v>
                </c:pt>
                <c:pt idx="584">
                  <c:v>839.7136314269211</c:v>
                </c:pt>
                <c:pt idx="585">
                  <c:v>839.7136314269211</c:v>
                </c:pt>
                <c:pt idx="586">
                  <c:v>839.7136314269211</c:v>
                </c:pt>
                <c:pt idx="587">
                  <c:v>839.7136314269211</c:v>
                </c:pt>
                <c:pt idx="588">
                  <c:v>839.7136314269211</c:v>
                </c:pt>
                <c:pt idx="589">
                  <c:v>839.7136314269211</c:v>
                </c:pt>
                <c:pt idx="590">
                  <c:v>839.7136314269211</c:v>
                </c:pt>
                <c:pt idx="591">
                  <c:v>839.7136314269211</c:v>
                </c:pt>
                <c:pt idx="592">
                  <c:v>839.7136314269211</c:v>
                </c:pt>
                <c:pt idx="593">
                  <c:v>839.7136314269211</c:v>
                </c:pt>
                <c:pt idx="594">
                  <c:v>839.7136314269211</c:v>
                </c:pt>
                <c:pt idx="595">
                  <c:v>839.7136314269211</c:v>
                </c:pt>
                <c:pt idx="596">
                  <c:v>839.7136314269211</c:v>
                </c:pt>
                <c:pt idx="597">
                  <c:v>839.7136314269211</c:v>
                </c:pt>
                <c:pt idx="598">
                  <c:v>839.7136314269211</c:v>
                </c:pt>
                <c:pt idx="599">
                  <c:v>839.7136314269211</c:v>
                </c:pt>
                <c:pt idx="600">
                  <c:v>839.7136314269211</c:v>
                </c:pt>
                <c:pt idx="601">
                  <c:v>839.7136314269211</c:v>
                </c:pt>
                <c:pt idx="602">
                  <c:v>839.7136314269211</c:v>
                </c:pt>
                <c:pt idx="603">
                  <c:v>839.7136314269211</c:v>
                </c:pt>
                <c:pt idx="604">
                  <c:v>839.7136314269211</c:v>
                </c:pt>
                <c:pt idx="605">
                  <c:v>839.7136314269211</c:v>
                </c:pt>
                <c:pt idx="606">
                  <c:v>839.7136314269211</c:v>
                </c:pt>
                <c:pt idx="607">
                  <c:v>839.7136314269211</c:v>
                </c:pt>
                <c:pt idx="608">
                  <c:v>839.7136314269211</c:v>
                </c:pt>
                <c:pt idx="609">
                  <c:v>839.7136314269211</c:v>
                </c:pt>
                <c:pt idx="610">
                  <c:v>839.7136314269211</c:v>
                </c:pt>
                <c:pt idx="611">
                  <c:v>839.7136314269211</c:v>
                </c:pt>
                <c:pt idx="612">
                  <c:v>839.7136314269211</c:v>
                </c:pt>
                <c:pt idx="613">
                  <c:v>839.7136314269211</c:v>
                </c:pt>
                <c:pt idx="614">
                  <c:v>839.7136314269211</c:v>
                </c:pt>
                <c:pt idx="615">
                  <c:v>839.7136314269211</c:v>
                </c:pt>
                <c:pt idx="616">
                  <c:v>839.7136314269211</c:v>
                </c:pt>
                <c:pt idx="617">
                  <c:v>839.7136314269211</c:v>
                </c:pt>
                <c:pt idx="618">
                  <c:v>839.7136314269211</c:v>
                </c:pt>
                <c:pt idx="619">
                  <c:v>839.7136314269211</c:v>
                </c:pt>
                <c:pt idx="620">
                  <c:v>839.7136314269211</c:v>
                </c:pt>
                <c:pt idx="621">
                  <c:v>839.7136314269211</c:v>
                </c:pt>
                <c:pt idx="622">
                  <c:v>839.7136314269211</c:v>
                </c:pt>
                <c:pt idx="623">
                  <c:v>839.7136314269211</c:v>
                </c:pt>
                <c:pt idx="624">
                  <c:v>839.7136314269211</c:v>
                </c:pt>
                <c:pt idx="625">
                  <c:v>839.7136314269211</c:v>
                </c:pt>
                <c:pt idx="626">
                  <c:v>839.7136314269211</c:v>
                </c:pt>
                <c:pt idx="627">
                  <c:v>839.7136314269211</c:v>
                </c:pt>
                <c:pt idx="628">
                  <c:v>839.7136314269211</c:v>
                </c:pt>
                <c:pt idx="629">
                  <c:v>839.7136314269211</c:v>
                </c:pt>
                <c:pt idx="630">
                  <c:v>839.7136314269211</c:v>
                </c:pt>
                <c:pt idx="631">
                  <c:v>839.7136314269211</c:v>
                </c:pt>
                <c:pt idx="632">
                  <c:v>839.7136314269211</c:v>
                </c:pt>
                <c:pt idx="633">
                  <c:v>839.7136314269211</c:v>
                </c:pt>
                <c:pt idx="634">
                  <c:v>839.7136314269211</c:v>
                </c:pt>
                <c:pt idx="635">
                  <c:v>839.7136314269211</c:v>
                </c:pt>
                <c:pt idx="636">
                  <c:v>839.7136314269211</c:v>
                </c:pt>
                <c:pt idx="637">
                  <c:v>839.7136314269211</c:v>
                </c:pt>
                <c:pt idx="638">
                  <c:v>839.7136314269211</c:v>
                </c:pt>
                <c:pt idx="639">
                  <c:v>839.7136314269211</c:v>
                </c:pt>
                <c:pt idx="640">
                  <c:v>839.7136314269211</c:v>
                </c:pt>
                <c:pt idx="641">
                  <c:v>839.7136314269211</c:v>
                </c:pt>
                <c:pt idx="642">
                  <c:v>839.7136314269211</c:v>
                </c:pt>
                <c:pt idx="643">
                  <c:v>839.7136314269211</c:v>
                </c:pt>
                <c:pt idx="644">
                  <c:v>839.7136314269211</c:v>
                </c:pt>
                <c:pt idx="645">
                  <c:v>839.7136314269211</c:v>
                </c:pt>
                <c:pt idx="646">
                  <c:v>839.7136314269211</c:v>
                </c:pt>
                <c:pt idx="647">
                  <c:v>839.7136314269211</c:v>
                </c:pt>
                <c:pt idx="648">
                  <c:v>839.7136314269211</c:v>
                </c:pt>
                <c:pt idx="649">
                  <c:v>839.7136314269211</c:v>
                </c:pt>
                <c:pt idx="650">
                  <c:v>839.7136314269211</c:v>
                </c:pt>
                <c:pt idx="651">
                  <c:v>839.7136314269211</c:v>
                </c:pt>
                <c:pt idx="652">
                  <c:v>839.7136314269211</c:v>
                </c:pt>
                <c:pt idx="653">
                  <c:v>839.7136314269211</c:v>
                </c:pt>
                <c:pt idx="654">
                  <c:v>839.7136314269211</c:v>
                </c:pt>
                <c:pt idx="655">
                  <c:v>839.7136314269211</c:v>
                </c:pt>
                <c:pt idx="656">
                  <c:v>839.7136314269211</c:v>
                </c:pt>
                <c:pt idx="657">
                  <c:v>839.7136314269211</c:v>
                </c:pt>
                <c:pt idx="658">
                  <c:v>839.7136314269211</c:v>
                </c:pt>
                <c:pt idx="659">
                  <c:v>839.7136314269211</c:v>
                </c:pt>
                <c:pt idx="660">
                  <c:v>839.7136314269211</c:v>
                </c:pt>
                <c:pt idx="661">
                  <c:v>839.7136314269211</c:v>
                </c:pt>
                <c:pt idx="662">
                  <c:v>839.7136314269211</c:v>
                </c:pt>
                <c:pt idx="663">
                  <c:v>839.7136314269211</c:v>
                </c:pt>
                <c:pt idx="664">
                  <c:v>839.7136314269211</c:v>
                </c:pt>
                <c:pt idx="665">
                  <c:v>839.7136314269211</c:v>
                </c:pt>
                <c:pt idx="666">
                  <c:v>839.7136314269211</c:v>
                </c:pt>
                <c:pt idx="667">
                  <c:v>839.7136314269211</c:v>
                </c:pt>
                <c:pt idx="668">
                  <c:v>839.7136314269211</c:v>
                </c:pt>
                <c:pt idx="669">
                  <c:v>839.7136314269211</c:v>
                </c:pt>
                <c:pt idx="670">
                  <c:v>839.7136314269211</c:v>
                </c:pt>
                <c:pt idx="671">
                  <c:v>839.7136314269211</c:v>
                </c:pt>
                <c:pt idx="672">
                  <c:v>839.7136314269211</c:v>
                </c:pt>
                <c:pt idx="673">
                  <c:v>839.7136314269211</c:v>
                </c:pt>
                <c:pt idx="674">
                  <c:v>839.7136314269211</c:v>
                </c:pt>
                <c:pt idx="675">
                  <c:v>839.7136314269211</c:v>
                </c:pt>
                <c:pt idx="676">
                  <c:v>839.7136314269211</c:v>
                </c:pt>
                <c:pt idx="677">
                  <c:v>839.7136314269211</c:v>
                </c:pt>
                <c:pt idx="678">
                  <c:v>839.7136314269211</c:v>
                </c:pt>
                <c:pt idx="679">
                  <c:v>839.7136314269211</c:v>
                </c:pt>
                <c:pt idx="680">
                  <c:v>839.7136314269211</c:v>
                </c:pt>
                <c:pt idx="681">
                  <c:v>839.7136314269211</c:v>
                </c:pt>
                <c:pt idx="682">
                  <c:v>839.7136314269211</c:v>
                </c:pt>
                <c:pt idx="683">
                  <c:v>839.7136314269211</c:v>
                </c:pt>
                <c:pt idx="684">
                  <c:v>839.7136314269211</c:v>
                </c:pt>
                <c:pt idx="685">
                  <c:v>839.7136314269211</c:v>
                </c:pt>
                <c:pt idx="686">
                  <c:v>839.7136314269211</c:v>
                </c:pt>
                <c:pt idx="687">
                  <c:v>839.7136314269211</c:v>
                </c:pt>
                <c:pt idx="688">
                  <c:v>839.7136314269211</c:v>
                </c:pt>
                <c:pt idx="689">
                  <c:v>839.7136314269211</c:v>
                </c:pt>
                <c:pt idx="690">
                  <c:v>839.7136314269211</c:v>
                </c:pt>
                <c:pt idx="691">
                  <c:v>839.7136314269211</c:v>
                </c:pt>
                <c:pt idx="692">
                  <c:v>839.7136314269211</c:v>
                </c:pt>
                <c:pt idx="693">
                  <c:v>839.7136314269211</c:v>
                </c:pt>
                <c:pt idx="694">
                  <c:v>839.7136314269211</c:v>
                </c:pt>
                <c:pt idx="695">
                  <c:v>839.7136314269211</c:v>
                </c:pt>
                <c:pt idx="696">
                  <c:v>839.7136314269211</c:v>
                </c:pt>
                <c:pt idx="697">
                  <c:v>839.7136314269211</c:v>
                </c:pt>
                <c:pt idx="698">
                  <c:v>839.7136314269211</c:v>
                </c:pt>
                <c:pt idx="699">
                  <c:v>839.7136314269211</c:v>
                </c:pt>
                <c:pt idx="700">
                  <c:v>839.7136314269211</c:v>
                </c:pt>
                <c:pt idx="701">
                  <c:v>839.7136314269211</c:v>
                </c:pt>
                <c:pt idx="702">
                  <c:v>839.7136314269211</c:v>
                </c:pt>
                <c:pt idx="703">
                  <c:v>839.7136314269211</c:v>
                </c:pt>
                <c:pt idx="704">
                  <c:v>839.7136314269211</c:v>
                </c:pt>
                <c:pt idx="705">
                  <c:v>839.7136314269211</c:v>
                </c:pt>
                <c:pt idx="706">
                  <c:v>839.7136314269211</c:v>
                </c:pt>
                <c:pt idx="707">
                  <c:v>839.7136314269211</c:v>
                </c:pt>
                <c:pt idx="708">
                  <c:v>839.7136314269211</c:v>
                </c:pt>
                <c:pt idx="709">
                  <c:v>839.7136314269211</c:v>
                </c:pt>
                <c:pt idx="710">
                  <c:v>839.7136314269211</c:v>
                </c:pt>
                <c:pt idx="711">
                  <c:v>839.7136314269211</c:v>
                </c:pt>
                <c:pt idx="712">
                  <c:v>839.7136314269211</c:v>
                </c:pt>
                <c:pt idx="713">
                  <c:v>839.7136314269211</c:v>
                </c:pt>
                <c:pt idx="714">
                  <c:v>839.7136314269211</c:v>
                </c:pt>
                <c:pt idx="715">
                  <c:v>839.7136314269211</c:v>
                </c:pt>
                <c:pt idx="716">
                  <c:v>839.7136314269211</c:v>
                </c:pt>
                <c:pt idx="717">
                  <c:v>839.7136314269211</c:v>
                </c:pt>
                <c:pt idx="718">
                  <c:v>839.7136314269211</c:v>
                </c:pt>
                <c:pt idx="719">
                  <c:v>839.7136314269211</c:v>
                </c:pt>
                <c:pt idx="720">
                  <c:v>839.7136314269211</c:v>
                </c:pt>
                <c:pt idx="721">
                  <c:v>839.7136314269211</c:v>
                </c:pt>
                <c:pt idx="722">
                  <c:v>839.7136314269211</c:v>
                </c:pt>
                <c:pt idx="723">
                  <c:v>839.7136314269211</c:v>
                </c:pt>
                <c:pt idx="724">
                  <c:v>839.7136314269211</c:v>
                </c:pt>
                <c:pt idx="725">
                  <c:v>839.7136314269211</c:v>
                </c:pt>
                <c:pt idx="726">
                  <c:v>839.7136314269211</c:v>
                </c:pt>
                <c:pt idx="727">
                  <c:v>839.7136314269211</c:v>
                </c:pt>
                <c:pt idx="728">
                  <c:v>839.7136314269211</c:v>
                </c:pt>
                <c:pt idx="729">
                  <c:v>839.7136314269211</c:v>
                </c:pt>
                <c:pt idx="730">
                  <c:v>839.7136314269211</c:v>
                </c:pt>
                <c:pt idx="731">
                  <c:v>839.7136314269211</c:v>
                </c:pt>
                <c:pt idx="732">
                  <c:v>839.7136314269211</c:v>
                </c:pt>
                <c:pt idx="733">
                  <c:v>839.7136314269211</c:v>
                </c:pt>
                <c:pt idx="734">
                  <c:v>839.7136314269211</c:v>
                </c:pt>
                <c:pt idx="735">
                  <c:v>839.7136314269211</c:v>
                </c:pt>
                <c:pt idx="736">
                  <c:v>839.7136314269211</c:v>
                </c:pt>
                <c:pt idx="737">
                  <c:v>839.7136314269211</c:v>
                </c:pt>
                <c:pt idx="738">
                  <c:v>839.7136314269211</c:v>
                </c:pt>
                <c:pt idx="739">
                  <c:v>839.7136314269211</c:v>
                </c:pt>
                <c:pt idx="740">
                  <c:v>839.7136314269211</c:v>
                </c:pt>
                <c:pt idx="741">
                  <c:v>839.7136314269211</c:v>
                </c:pt>
                <c:pt idx="742">
                  <c:v>839.7136314269211</c:v>
                </c:pt>
                <c:pt idx="743">
                  <c:v>839.7136314269211</c:v>
                </c:pt>
                <c:pt idx="744">
                  <c:v>839.7136314269211</c:v>
                </c:pt>
                <c:pt idx="745">
                  <c:v>839.7136314269211</c:v>
                </c:pt>
                <c:pt idx="746">
                  <c:v>839.7136314269211</c:v>
                </c:pt>
                <c:pt idx="747">
                  <c:v>839.7136314269211</c:v>
                </c:pt>
                <c:pt idx="748">
                  <c:v>839.7136314269211</c:v>
                </c:pt>
                <c:pt idx="749">
                  <c:v>839.7136314269211</c:v>
                </c:pt>
                <c:pt idx="750">
                  <c:v>839.7136314269211</c:v>
                </c:pt>
                <c:pt idx="751">
                  <c:v>839.7136314269211</c:v>
                </c:pt>
                <c:pt idx="752">
                  <c:v>839.7136314269211</c:v>
                </c:pt>
                <c:pt idx="753">
                  <c:v>839.7136314269211</c:v>
                </c:pt>
                <c:pt idx="754">
                  <c:v>839.7136314269211</c:v>
                </c:pt>
                <c:pt idx="755">
                  <c:v>839.7136314269211</c:v>
                </c:pt>
                <c:pt idx="756">
                  <c:v>839.7136314269211</c:v>
                </c:pt>
                <c:pt idx="757">
                  <c:v>839.7136314269211</c:v>
                </c:pt>
                <c:pt idx="758">
                  <c:v>839.7136314269211</c:v>
                </c:pt>
                <c:pt idx="759">
                  <c:v>839.7136314269211</c:v>
                </c:pt>
                <c:pt idx="760">
                  <c:v>839.7136314269211</c:v>
                </c:pt>
                <c:pt idx="761">
                  <c:v>839.7136314269211</c:v>
                </c:pt>
                <c:pt idx="762">
                  <c:v>839.7136314269211</c:v>
                </c:pt>
                <c:pt idx="763">
                  <c:v>839.7136314269211</c:v>
                </c:pt>
                <c:pt idx="764">
                  <c:v>839.7136314269211</c:v>
                </c:pt>
                <c:pt idx="765">
                  <c:v>839.7136314269211</c:v>
                </c:pt>
                <c:pt idx="766">
                  <c:v>839.7136314269211</c:v>
                </c:pt>
                <c:pt idx="767">
                  <c:v>839.7136314269211</c:v>
                </c:pt>
                <c:pt idx="768">
                  <c:v>839.7136314269211</c:v>
                </c:pt>
                <c:pt idx="769">
                  <c:v>839.7136314269211</c:v>
                </c:pt>
                <c:pt idx="770">
                  <c:v>839.7136314269211</c:v>
                </c:pt>
                <c:pt idx="771">
                  <c:v>839.7136314269211</c:v>
                </c:pt>
                <c:pt idx="772">
                  <c:v>839.7136314269211</c:v>
                </c:pt>
                <c:pt idx="773">
                  <c:v>839.7136314269211</c:v>
                </c:pt>
                <c:pt idx="774">
                  <c:v>839.7136314269211</c:v>
                </c:pt>
                <c:pt idx="775">
                  <c:v>839.7136314269211</c:v>
                </c:pt>
                <c:pt idx="776">
                  <c:v>839.7136314269211</c:v>
                </c:pt>
                <c:pt idx="777">
                  <c:v>839.7136314269211</c:v>
                </c:pt>
                <c:pt idx="778">
                  <c:v>839.7136314269211</c:v>
                </c:pt>
                <c:pt idx="779">
                  <c:v>839.7136314269211</c:v>
                </c:pt>
                <c:pt idx="780">
                  <c:v>839.7136314269211</c:v>
                </c:pt>
                <c:pt idx="781">
                  <c:v>839.7136314269211</c:v>
                </c:pt>
                <c:pt idx="782">
                  <c:v>839.7136314269211</c:v>
                </c:pt>
                <c:pt idx="783">
                  <c:v>839.7136314269211</c:v>
                </c:pt>
                <c:pt idx="784">
                  <c:v>839.7136314269211</c:v>
                </c:pt>
                <c:pt idx="785">
                  <c:v>839.7136314269211</c:v>
                </c:pt>
                <c:pt idx="786">
                  <c:v>839.7136314269211</c:v>
                </c:pt>
                <c:pt idx="787">
                  <c:v>839.7136314269211</c:v>
                </c:pt>
                <c:pt idx="788">
                  <c:v>839.7136314269211</c:v>
                </c:pt>
                <c:pt idx="789">
                  <c:v>839.7136314269211</c:v>
                </c:pt>
                <c:pt idx="790">
                  <c:v>839.7136314269211</c:v>
                </c:pt>
                <c:pt idx="791">
                  <c:v>839.7136314269211</c:v>
                </c:pt>
                <c:pt idx="792">
                  <c:v>839.7136314269211</c:v>
                </c:pt>
                <c:pt idx="793">
                  <c:v>839.7136314269211</c:v>
                </c:pt>
                <c:pt idx="794">
                  <c:v>839.7136314269211</c:v>
                </c:pt>
                <c:pt idx="795">
                  <c:v>839.7136314269211</c:v>
                </c:pt>
                <c:pt idx="796">
                  <c:v>839.7136314269211</c:v>
                </c:pt>
                <c:pt idx="797">
                  <c:v>839.7136314269211</c:v>
                </c:pt>
                <c:pt idx="798">
                  <c:v>839.7136314269211</c:v>
                </c:pt>
                <c:pt idx="799">
                  <c:v>839.7136314269211</c:v>
                </c:pt>
                <c:pt idx="800">
                  <c:v>839.7136314269211</c:v>
                </c:pt>
                <c:pt idx="801">
                  <c:v>839.7136314269211</c:v>
                </c:pt>
                <c:pt idx="802">
                  <c:v>839.7136314269211</c:v>
                </c:pt>
                <c:pt idx="803">
                  <c:v>839.7136314269211</c:v>
                </c:pt>
                <c:pt idx="804">
                  <c:v>839.7136314269211</c:v>
                </c:pt>
                <c:pt idx="805">
                  <c:v>839.7136314269211</c:v>
                </c:pt>
                <c:pt idx="806">
                  <c:v>839.7136314269211</c:v>
                </c:pt>
                <c:pt idx="807">
                  <c:v>839.7136314269211</c:v>
                </c:pt>
                <c:pt idx="808">
                  <c:v>839.7136314269211</c:v>
                </c:pt>
                <c:pt idx="809">
                  <c:v>839.7136314269211</c:v>
                </c:pt>
                <c:pt idx="810">
                  <c:v>839.7136314269211</c:v>
                </c:pt>
                <c:pt idx="811">
                  <c:v>839.7136314269211</c:v>
                </c:pt>
                <c:pt idx="812">
                  <c:v>839.7136314269211</c:v>
                </c:pt>
                <c:pt idx="813">
                  <c:v>839.7136314269211</c:v>
                </c:pt>
                <c:pt idx="814">
                  <c:v>839.7136314269211</c:v>
                </c:pt>
                <c:pt idx="815">
                  <c:v>839.7136314269211</c:v>
                </c:pt>
                <c:pt idx="816">
                  <c:v>839.7136314269211</c:v>
                </c:pt>
                <c:pt idx="817">
                  <c:v>839.7136314269211</c:v>
                </c:pt>
                <c:pt idx="818">
                  <c:v>839.7136314269211</c:v>
                </c:pt>
                <c:pt idx="819">
                  <c:v>839.7136314269211</c:v>
                </c:pt>
                <c:pt idx="820">
                  <c:v>839.7136314269211</c:v>
                </c:pt>
                <c:pt idx="821">
                  <c:v>839.7136314269211</c:v>
                </c:pt>
                <c:pt idx="822">
                  <c:v>839.7136314269211</c:v>
                </c:pt>
                <c:pt idx="823">
                  <c:v>839.7136314269211</c:v>
                </c:pt>
                <c:pt idx="824">
                  <c:v>839.7136314269211</c:v>
                </c:pt>
                <c:pt idx="825">
                  <c:v>839.7136314269211</c:v>
                </c:pt>
                <c:pt idx="826">
                  <c:v>839.7136314269211</c:v>
                </c:pt>
                <c:pt idx="827">
                  <c:v>839.7136314269211</c:v>
                </c:pt>
                <c:pt idx="828">
                  <c:v>839.7136314269211</c:v>
                </c:pt>
                <c:pt idx="829">
                  <c:v>839.7136314269211</c:v>
                </c:pt>
                <c:pt idx="830">
                  <c:v>839.7136314269211</c:v>
                </c:pt>
                <c:pt idx="831">
                  <c:v>839.7136314269211</c:v>
                </c:pt>
                <c:pt idx="832">
                  <c:v>839.7136314269211</c:v>
                </c:pt>
                <c:pt idx="833">
                  <c:v>839.7136314269211</c:v>
                </c:pt>
                <c:pt idx="834">
                  <c:v>839.7136314269211</c:v>
                </c:pt>
                <c:pt idx="835">
                  <c:v>839.7136314269211</c:v>
                </c:pt>
                <c:pt idx="836">
                  <c:v>839.7136314269211</c:v>
                </c:pt>
                <c:pt idx="837">
                  <c:v>839.7136314269211</c:v>
                </c:pt>
                <c:pt idx="838">
                  <c:v>839.7136314269211</c:v>
                </c:pt>
                <c:pt idx="839">
                  <c:v>839.7136314269211</c:v>
                </c:pt>
                <c:pt idx="840">
                  <c:v>839.7136314269211</c:v>
                </c:pt>
                <c:pt idx="841">
                  <c:v>839.7136314269211</c:v>
                </c:pt>
                <c:pt idx="842">
                  <c:v>839.7136314269211</c:v>
                </c:pt>
                <c:pt idx="843">
                  <c:v>839.7136314269211</c:v>
                </c:pt>
                <c:pt idx="844">
                  <c:v>839.7136314269211</c:v>
                </c:pt>
                <c:pt idx="845">
                  <c:v>839.7136314269211</c:v>
                </c:pt>
                <c:pt idx="846">
                  <c:v>839.7136314269211</c:v>
                </c:pt>
                <c:pt idx="847">
                  <c:v>839.7136314269211</c:v>
                </c:pt>
                <c:pt idx="848">
                  <c:v>839.7136314269211</c:v>
                </c:pt>
                <c:pt idx="849">
                  <c:v>839.7136314269211</c:v>
                </c:pt>
                <c:pt idx="850">
                  <c:v>839.7136314269211</c:v>
                </c:pt>
                <c:pt idx="851">
                  <c:v>839.7136314269211</c:v>
                </c:pt>
                <c:pt idx="852">
                  <c:v>839.7136314269211</c:v>
                </c:pt>
                <c:pt idx="853">
                  <c:v>839.7136314269211</c:v>
                </c:pt>
                <c:pt idx="854">
                  <c:v>839.7136314269211</c:v>
                </c:pt>
                <c:pt idx="855">
                  <c:v>839.7136314269211</c:v>
                </c:pt>
                <c:pt idx="856">
                  <c:v>839.7136314269211</c:v>
                </c:pt>
                <c:pt idx="857">
                  <c:v>839.7136314269211</c:v>
                </c:pt>
                <c:pt idx="858">
                  <c:v>839.7136314269211</c:v>
                </c:pt>
                <c:pt idx="859">
                  <c:v>839.7136314269211</c:v>
                </c:pt>
                <c:pt idx="860">
                  <c:v>839.7136314269211</c:v>
                </c:pt>
                <c:pt idx="861">
                  <c:v>839.7136314269211</c:v>
                </c:pt>
                <c:pt idx="862">
                  <c:v>839.7136314269211</c:v>
                </c:pt>
                <c:pt idx="863">
                  <c:v>839.7136314269211</c:v>
                </c:pt>
                <c:pt idx="864">
                  <c:v>839.7136314269211</c:v>
                </c:pt>
                <c:pt idx="865">
                  <c:v>839.7136314269211</c:v>
                </c:pt>
                <c:pt idx="866">
                  <c:v>839.7136314269211</c:v>
                </c:pt>
                <c:pt idx="867">
                  <c:v>839.7136314269211</c:v>
                </c:pt>
                <c:pt idx="868">
                  <c:v>839.7136314269211</c:v>
                </c:pt>
                <c:pt idx="869">
                  <c:v>839.7136314269211</c:v>
                </c:pt>
                <c:pt idx="870">
                  <c:v>839.7136314269211</c:v>
                </c:pt>
                <c:pt idx="871">
                  <c:v>839.7136314269211</c:v>
                </c:pt>
                <c:pt idx="872">
                  <c:v>839.7136314269211</c:v>
                </c:pt>
                <c:pt idx="873">
                  <c:v>839.7136314269211</c:v>
                </c:pt>
                <c:pt idx="874">
                  <c:v>839.7136314269211</c:v>
                </c:pt>
                <c:pt idx="875">
                  <c:v>839.7136314269211</c:v>
                </c:pt>
                <c:pt idx="876">
                  <c:v>839.7136314269211</c:v>
                </c:pt>
                <c:pt idx="877">
                  <c:v>839.7136314269211</c:v>
                </c:pt>
                <c:pt idx="878">
                  <c:v>839.7136314269211</c:v>
                </c:pt>
                <c:pt idx="879">
                  <c:v>839.7136314269211</c:v>
                </c:pt>
                <c:pt idx="880">
                  <c:v>839.7136314269211</c:v>
                </c:pt>
                <c:pt idx="881">
                  <c:v>839.7136314269211</c:v>
                </c:pt>
                <c:pt idx="882">
                  <c:v>839.7136314269211</c:v>
                </c:pt>
                <c:pt idx="883">
                  <c:v>839.7136314269211</c:v>
                </c:pt>
                <c:pt idx="884">
                  <c:v>839.7136314269211</c:v>
                </c:pt>
                <c:pt idx="885">
                  <c:v>839.7136314269211</c:v>
                </c:pt>
                <c:pt idx="886">
                  <c:v>839.7136314269211</c:v>
                </c:pt>
                <c:pt idx="887">
                  <c:v>839.7136314269211</c:v>
                </c:pt>
                <c:pt idx="888">
                  <c:v>839.7136314269211</c:v>
                </c:pt>
                <c:pt idx="889">
                  <c:v>839.7136314269211</c:v>
                </c:pt>
                <c:pt idx="890">
                  <c:v>839.7136314269211</c:v>
                </c:pt>
                <c:pt idx="891">
                  <c:v>839.7136314269211</c:v>
                </c:pt>
                <c:pt idx="892">
                  <c:v>839.7136314269211</c:v>
                </c:pt>
                <c:pt idx="893">
                  <c:v>839.7136314269211</c:v>
                </c:pt>
                <c:pt idx="894">
                  <c:v>839.7136314269211</c:v>
                </c:pt>
                <c:pt idx="895">
                  <c:v>839.7136314269211</c:v>
                </c:pt>
                <c:pt idx="896">
                  <c:v>839.7136314269211</c:v>
                </c:pt>
                <c:pt idx="897">
                  <c:v>839.7136314269211</c:v>
                </c:pt>
                <c:pt idx="898">
                  <c:v>839.7136314269211</c:v>
                </c:pt>
                <c:pt idx="899">
                  <c:v>839.7136314269211</c:v>
                </c:pt>
                <c:pt idx="900">
                  <c:v>839.7136314269211</c:v>
                </c:pt>
                <c:pt idx="901">
                  <c:v>839.7136314269211</c:v>
                </c:pt>
                <c:pt idx="902">
                  <c:v>839.7136314269211</c:v>
                </c:pt>
                <c:pt idx="903">
                  <c:v>839.7136314269211</c:v>
                </c:pt>
                <c:pt idx="904">
                  <c:v>839.7136314269211</c:v>
                </c:pt>
                <c:pt idx="905">
                  <c:v>839.7136314269211</c:v>
                </c:pt>
                <c:pt idx="906">
                  <c:v>839.7136314269211</c:v>
                </c:pt>
                <c:pt idx="907">
                  <c:v>839.7136314269211</c:v>
                </c:pt>
                <c:pt idx="908">
                  <c:v>839.7136314269211</c:v>
                </c:pt>
                <c:pt idx="909">
                  <c:v>839.7136314269211</c:v>
                </c:pt>
                <c:pt idx="910">
                  <c:v>839.7136314269211</c:v>
                </c:pt>
                <c:pt idx="911">
                  <c:v>839.7136314269211</c:v>
                </c:pt>
                <c:pt idx="912">
                  <c:v>839.7136314269211</c:v>
                </c:pt>
                <c:pt idx="913">
                  <c:v>839.7136314269211</c:v>
                </c:pt>
                <c:pt idx="914">
                  <c:v>839.7136314269211</c:v>
                </c:pt>
                <c:pt idx="915">
                  <c:v>839.7136314269211</c:v>
                </c:pt>
                <c:pt idx="916">
                  <c:v>839.7136314269211</c:v>
                </c:pt>
                <c:pt idx="917">
                  <c:v>839.7136314269211</c:v>
                </c:pt>
                <c:pt idx="918">
                  <c:v>839.7136314269211</c:v>
                </c:pt>
                <c:pt idx="919">
                  <c:v>839.7136314269211</c:v>
                </c:pt>
                <c:pt idx="920">
                  <c:v>839.7136314269211</c:v>
                </c:pt>
                <c:pt idx="921">
                  <c:v>839.7136314269211</c:v>
                </c:pt>
                <c:pt idx="922">
                  <c:v>839.7136314269211</c:v>
                </c:pt>
                <c:pt idx="923">
                  <c:v>839.7136314269211</c:v>
                </c:pt>
                <c:pt idx="924">
                  <c:v>839.7136314269211</c:v>
                </c:pt>
                <c:pt idx="925">
                  <c:v>839.7136314269211</c:v>
                </c:pt>
                <c:pt idx="926">
                  <c:v>839.7136314269211</c:v>
                </c:pt>
                <c:pt idx="927">
                  <c:v>839.7136314269211</c:v>
                </c:pt>
                <c:pt idx="928">
                  <c:v>839.7136314269211</c:v>
                </c:pt>
                <c:pt idx="929">
                  <c:v>839.7136314269211</c:v>
                </c:pt>
                <c:pt idx="930">
                  <c:v>839.7136314269211</c:v>
                </c:pt>
                <c:pt idx="931">
                  <c:v>839.7136314269211</c:v>
                </c:pt>
                <c:pt idx="932">
                  <c:v>839.7136314269211</c:v>
                </c:pt>
                <c:pt idx="933">
                  <c:v>839.7136314269211</c:v>
                </c:pt>
                <c:pt idx="934">
                  <c:v>839.7136314269211</c:v>
                </c:pt>
                <c:pt idx="935">
                  <c:v>839.7136314269211</c:v>
                </c:pt>
                <c:pt idx="936">
                  <c:v>839.7136314269211</c:v>
                </c:pt>
                <c:pt idx="937">
                  <c:v>839.7136314269211</c:v>
                </c:pt>
                <c:pt idx="938">
                  <c:v>839.7136314269211</c:v>
                </c:pt>
                <c:pt idx="939">
                  <c:v>839.7136314269211</c:v>
                </c:pt>
                <c:pt idx="940">
                  <c:v>839.7136314269211</c:v>
                </c:pt>
                <c:pt idx="941">
                  <c:v>839.7136314269211</c:v>
                </c:pt>
                <c:pt idx="942">
                  <c:v>839.7136314269211</c:v>
                </c:pt>
                <c:pt idx="943">
                  <c:v>839.7136314269211</c:v>
                </c:pt>
                <c:pt idx="944">
                  <c:v>839.7136314269211</c:v>
                </c:pt>
                <c:pt idx="945">
                  <c:v>839.7136314269211</c:v>
                </c:pt>
                <c:pt idx="946">
                  <c:v>839.7136314269211</c:v>
                </c:pt>
                <c:pt idx="947">
                  <c:v>839.7136314269211</c:v>
                </c:pt>
                <c:pt idx="948">
                  <c:v>839.7136314269211</c:v>
                </c:pt>
                <c:pt idx="949">
                  <c:v>839.7136314269211</c:v>
                </c:pt>
                <c:pt idx="950">
                  <c:v>839.7136314269211</c:v>
                </c:pt>
                <c:pt idx="951">
                  <c:v>839.7136314269211</c:v>
                </c:pt>
                <c:pt idx="952">
                  <c:v>839.7136314269211</c:v>
                </c:pt>
                <c:pt idx="953">
                  <c:v>839.7136314269211</c:v>
                </c:pt>
                <c:pt idx="954">
                  <c:v>839.7136314269211</c:v>
                </c:pt>
                <c:pt idx="955">
                  <c:v>839.7136314269211</c:v>
                </c:pt>
                <c:pt idx="956">
                  <c:v>839.7136314269211</c:v>
                </c:pt>
                <c:pt idx="957">
                  <c:v>839.7136314269211</c:v>
                </c:pt>
                <c:pt idx="958">
                  <c:v>839.7136314269211</c:v>
                </c:pt>
                <c:pt idx="959">
                  <c:v>839.7136314269211</c:v>
                </c:pt>
                <c:pt idx="960">
                  <c:v>839.7136314269211</c:v>
                </c:pt>
                <c:pt idx="961">
                  <c:v>839.7136314269211</c:v>
                </c:pt>
                <c:pt idx="962">
                  <c:v>839.7136314269211</c:v>
                </c:pt>
                <c:pt idx="963">
                  <c:v>839.7136314269211</c:v>
                </c:pt>
                <c:pt idx="964">
                  <c:v>839.7136314269211</c:v>
                </c:pt>
                <c:pt idx="965">
                  <c:v>839.7136314269211</c:v>
                </c:pt>
                <c:pt idx="966">
                  <c:v>839.7136314269211</c:v>
                </c:pt>
                <c:pt idx="967">
                  <c:v>839.7136314269211</c:v>
                </c:pt>
                <c:pt idx="968">
                  <c:v>839.7136314269211</c:v>
                </c:pt>
                <c:pt idx="969">
                  <c:v>839.7136314269211</c:v>
                </c:pt>
                <c:pt idx="970">
                  <c:v>839.7136314269211</c:v>
                </c:pt>
                <c:pt idx="971">
                  <c:v>839.7136314269211</c:v>
                </c:pt>
                <c:pt idx="972">
                  <c:v>839.7136314269211</c:v>
                </c:pt>
                <c:pt idx="973">
                  <c:v>839.7136314269211</c:v>
                </c:pt>
                <c:pt idx="974">
                  <c:v>839.7136314269211</c:v>
                </c:pt>
                <c:pt idx="975">
                  <c:v>839.7136314269211</c:v>
                </c:pt>
                <c:pt idx="976">
                  <c:v>839.7136314269211</c:v>
                </c:pt>
                <c:pt idx="977">
                  <c:v>839.7136314269211</c:v>
                </c:pt>
                <c:pt idx="978">
                  <c:v>839.7136314269211</c:v>
                </c:pt>
                <c:pt idx="979">
                  <c:v>839.7136314269211</c:v>
                </c:pt>
                <c:pt idx="980">
                  <c:v>839.7136314269211</c:v>
                </c:pt>
                <c:pt idx="981">
                  <c:v>839.7136314269211</c:v>
                </c:pt>
                <c:pt idx="982">
                  <c:v>839.7136314269211</c:v>
                </c:pt>
                <c:pt idx="983">
                  <c:v>839.7136314269211</c:v>
                </c:pt>
                <c:pt idx="984">
                  <c:v>839.7136314269211</c:v>
                </c:pt>
                <c:pt idx="985">
                  <c:v>839.7136314269211</c:v>
                </c:pt>
                <c:pt idx="986">
                  <c:v>839.7136314269211</c:v>
                </c:pt>
                <c:pt idx="987">
                  <c:v>839.7136314269211</c:v>
                </c:pt>
                <c:pt idx="988">
                  <c:v>839.7136314269211</c:v>
                </c:pt>
                <c:pt idx="989">
                  <c:v>839.7136314269211</c:v>
                </c:pt>
                <c:pt idx="990">
                  <c:v>839.7136314269211</c:v>
                </c:pt>
                <c:pt idx="991">
                  <c:v>839.7136314269211</c:v>
                </c:pt>
                <c:pt idx="992">
                  <c:v>839.7136314269211</c:v>
                </c:pt>
                <c:pt idx="993">
                  <c:v>839.7136314269211</c:v>
                </c:pt>
                <c:pt idx="994">
                  <c:v>839.7136314269211</c:v>
                </c:pt>
                <c:pt idx="995">
                  <c:v>839.7136314269211</c:v>
                </c:pt>
                <c:pt idx="996">
                  <c:v>839.7136314269211</c:v>
                </c:pt>
                <c:pt idx="997">
                  <c:v>839.7136314269211</c:v>
                </c:pt>
                <c:pt idx="998">
                  <c:v>839.7136314269211</c:v>
                </c:pt>
                <c:pt idx="999">
                  <c:v>839.7136314269211</c:v>
                </c:pt>
                <c:pt idx="1000">
                  <c:v>839.7136314269211</c:v>
                </c:pt>
              </c:numCache>
            </c:numRef>
          </c:xVal>
          <c:yVal>
            <c:numRef>
              <c:f>Calculs!$AE$4:$AE$1004</c:f>
              <c:numCache>
                <c:formatCode>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125.88452821916144</c:v>
                </c:pt>
              </c:numCache>
            </c:numRef>
          </c:xVal>
          <c:yVal>
            <c:numRef>
              <c:f>Trajecto!$C$158</c:f>
              <c:numCache>
                <c:formatCode>0</c:formatCode>
                <c:ptCount val="1"/>
                <c:pt idx="0">
                  <c:v>719.63689503319392</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727.65512524349595</c:v>
                </c:pt>
              </c:numCache>
            </c:numRef>
          </c:xVal>
          <c:yVal>
            <c:numRef>
              <c:f>Trajecto!$C$159</c:f>
              <c:numCache>
                <c:formatCode>0</c:formatCode>
                <c:ptCount val="1"/>
                <c:pt idx="0">
                  <c:v>719.63689503319392</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{8394636E-CBEA-4FE3-9CFA-0637BDFA2441}</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503.53811287664576</c:v>
                </c:pt>
                <c:pt idx="1">
                  <c:v>526.53811287664576</c:v>
                </c:pt>
                <c:pt idx="2">
                  <c:v>526.53811287664576</c:v>
                </c:pt>
                <c:pt idx="3">
                  <c:v>503.53811287664576</c:v>
                </c:pt>
                <c:pt idx="4">
                  <c:v>526.53811287664576</c:v>
                </c:pt>
                <c:pt idx="5">
                  <c:v>526.53811287664576</c:v>
                </c:pt>
                <c:pt idx="6">
                  <c:v>511.53811287664576</c:v>
                </c:pt>
                <c:pt idx="7">
                  <c:v>511.53811287664576</c:v>
                </c:pt>
                <c:pt idx="8">
                  <c:v>526.53811287664576</c:v>
                </c:pt>
                <c:pt idx="9">
                  <c:v>511.53811287664576</c:v>
                </c:pt>
                <c:pt idx="10">
                  <c:v>511.13811287664578</c:v>
                </c:pt>
                <c:pt idx="11">
                  <c:v>510.33811287664577</c:v>
                </c:pt>
                <c:pt idx="12">
                  <c:v>509.53811287664576</c:v>
                </c:pt>
                <c:pt idx="13">
                  <c:v>508.53811287664576</c:v>
                </c:pt>
                <c:pt idx="14">
                  <c:v>507.33811287664577</c:v>
                </c:pt>
                <c:pt idx="15">
                  <c:v>503.53811287664576</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503.53811287664576</c:v>
                </c:pt>
                <c:pt idx="1">
                  <c:v>480.53811287664576</c:v>
                </c:pt>
                <c:pt idx="2">
                  <c:v>480.53811287664576</c:v>
                </c:pt>
                <c:pt idx="3">
                  <c:v>503.53811287664576</c:v>
                </c:pt>
                <c:pt idx="4">
                  <c:v>480.53811287664576</c:v>
                </c:pt>
                <c:pt idx="5">
                  <c:v>480.53811287664576</c:v>
                </c:pt>
                <c:pt idx="6">
                  <c:v>495.53811287664576</c:v>
                </c:pt>
                <c:pt idx="7">
                  <c:v>495.53811287664576</c:v>
                </c:pt>
                <c:pt idx="8">
                  <c:v>480.53811287664576</c:v>
                </c:pt>
                <c:pt idx="9">
                  <c:v>495.53811287664576</c:v>
                </c:pt>
                <c:pt idx="10">
                  <c:v>495.93811287664573</c:v>
                </c:pt>
                <c:pt idx="11">
                  <c:v>496.73811287664574</c:v>
                </c:pt>
                <c:pt idx="12">
                  <c:v>497.53811287664576</c:v>
                </c:pt>
                <c:pt idx="13">
                  <c:v>498.53811287664576</c:v>
                </c:pt>
                <c:pt idx="14">
                  <c:v>499.73811287664574</c:v>
                </c:pt>
                <c:pt idx="15">
                  <c:v>503.53811287664576</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{6D5F793E-CA12-4E2A-AFAE-90069477F988}</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503.53811287664576</c:v>
                </c:pt>
                <c:pt idx="1">
                  <c:v>503.53811287664576</c:v>
                </c:pt>
                <c:pt idx="2">
                  <c:v>513.53811287664576</c:v>
                </c:pt>
                <c:pt idx="3">
                  <c:v>503.53811287664576</c:v>
                </c:pt>
                <c:pt idx="4">
                  <c:v>513.53811287664576</c:v>
                </c:pt>
                <c:pt idx="5">
                  <c:v>516.53811287664576</c:v>
                </c:pt>
                <c:pt idx="6">
                  <c:v>520.53811287664576</c:v>
                </c:pt>
                <c:pt idx="7">
                  <c:v>523.53811287664576</c:v>
                </c:pt>
                <c:pt idx="8">
                  <c:v>528.53811287664576</c:v>
                </c:pt>
                <c:pt idx="9">
                  <c:v>533.53811287664576</c:v>
                </c:pt>
                <c:pt idx="10">
                  <c:v>539.53811287664576</c:v>
                </c:pt>
                <c:pt idx="11">
                  <c:v>551.53811287664576</c:v>
                </c:pt>
                <c:pt idx="12">
                  <c:v>565.53811287664576</c:v>
                </c:pt>
                <c:pt idx="13">
                  <c:v>540.53811287664576</c:v>
                </c:pt>
                <c:pt idx="14">
                  <c:v>533.53811287664576</c:v>
                </c:pt>
                <c:pt idx="15">
                  <c:v>518.53811287664576</c:v>
                </c:pt>
                <c:pt idx="16">
                  <c:v>503.53811287664576</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503.53811287664576</c:v>
                </c:pt>
                <c:pt idx="1">
                  <c:v>503.53811287664576</c:v>
                </c:pt>
                <c:pt idx="2">
                  <c:v>493.53811287664576</c:v>
                </c:pt>
                <c:pt idx="3">
                  <c:v>503.53811287664576</c:v>
                </c:pt>
                <c:pt idx="4">
                  <c:v>493.53811287664576</c:v>
                </c:pt>
                <c:pt idx="5">
                  <c:v>490.53811287664576</c:v>
                </c:pt>
                <c:pt idx="6">
                  <c:v>486.53811287664576</c:v>
                </c:pt>
                <c:pt idx="7">
                  <c:v>483.53811287664576</c:v>
                </c:pt>
                <c:pt idx="8">
                  <c:v>478.53811287664576</c:v>
                </c:pt>
                <c:pt idx="9">
                  <c:v>473.53811287664576</c:v>
                </c:pt>
                <c:pt idx="10">
                  <c:v>467.53811287664576</c:v>
                </c:pt>
                <c:pt idx="11">
                  <c:v>455.53811287664576</c:v>
                </c:pt>
                <c:pt idx="12">
                  <c:v>441.53811287664576</c:v>
                </c:pt>
                <c:pt idx="13">
                  <c:v>466.53811287664576</c:v>
                </c:pt>
                <c:pt idx="14">
                  <c:v>473.53811287664576</c:v>
                </c:pt>
                <c:pt idx="15">
                  <c:v>488.53811287664576</c:v>
                </c:pt>
                <c:pt idx="16">
                  <c:v>503.53811287664576</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503.53811287664576</c:v>
                </c:pt>
                <c:pt idx="1">
                  <c:v>520.53811287664576</c:v>
                </c:pt>
                <c:pt idx="2">
                  <c:v>514.53811287664576</c:v>
                </c:pt>
                <c:pt idx="3">
                  <c:v>503.53811287664576</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503.53811287664576</c:v>
                </c:pt>
                <c:pt idx="1">
                  <c:v>486.53811287664576</c:v>
                </c:pt>
                <c:pt idx="2">
                  <c:v>492.53811287664576</c:v>
                </c:pt>
                <c:pt idx="3">
                  <c:v>503.53811287664576</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{5F695B00-90F1-4027-BE96-1DDD478AB8CA}</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503.53811287664576</c:v>
                </c:pt>
                <c:pt idx="1">
                  <c:v>503.53811287664576</c:v>
                </c:pt>
                <c:pt idx="2">
                  <c:v>503.53811287664576</c:v>
                </c:pt>
                <c:pt idx="3">
                  <c:v>539.51995762830541</c:v>
                </c:pt>
                <c:pt idx="4">
                  <c:v>503.53811287664576</c:v>
                </c:pt>
                <c:pt idx="5">
                  <c:v>467.55626812498605</c:v>
                </c:pt>
                <c:pt idx="6">
                  <c:v>503.53811287664576</c:v>
                </c:pt>
              </c:numCache>
            </c:numRef>
          </c:xVal>
          <c:yVal>
            <c:numRef>
              <c:f>Trajecto!$C$124:$C$130</c:f>
              <c:numCache>
                <c:formatCode>0</c:formatCode>
                <c:ptCount val="7"/>
                <c:pt idx="0">
                  <c:v>1439.2737900663878</c:v>
                </c:pt>
                <c:pt idx="1">
                  <c:v>719.63689503319392</c:v>
                </c:pt>
                <c:pt idx="2">
                  <c:v>0</c:v>
                </c:pt>
                <c:pt idx="3">
                  <c:v>71.963689503319387</c:v>
                </c:pt>
                <c:pt idx="4">
                  <c:v>0</c:v>
                </c:pt>
                <c:pt idx="5">
                  <c:v>71.963689503319387</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1439.2737900663878</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4.9999999999999911</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5.9999999999999698</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6.9999999999999556</c:v>
                </c:pt>
                <c:pt idx="205">
                  <c:v>#N/A</c:v>
                </c:pt>
                <c:pt idx="206">
                  <c:v>#N/A</c:v>
                </c:pt>
                <c:pt idx="207">
                  <c:v>#N/A</c:v>
                </c:pt>
                <c:pt idx="208">
                  <c:v>#N/A</c:v>
                </c:pt>
                <c:pt idx="209">
                  <c:v>#N/A</c:v>
                </c:pt>
                <c:pt idx="210">
                  <c:v>#N/A</c:v>
                </c:pt>
                <c:pt idx="211">
                  <c:v>#N/A</c:v>
                </c:pt>
                <c:pt idx="212">
                  <c:v>#N/A</c:v>
                </c:pt>
                <c:pt idx="213">
                  <c:v>#N/A</c:v>
                </c:pt>
                <c:pt idx="214">
                  <c:v>7.999999999999952</c:v>
                </c:pt>
                <c:pt idx="215">
                  <c:v>#N/A</c:v>
                </c:pt>
                <c:pt idx="216">
                  <c:v>#N/A</c:v>
                </c:pt>
                <c:pt idx="217">
                  <c:v>#N/A</c:v>
                </c:pt>
                <c:pt idx="218">
                  <c:v>#N/A</c:v>
                </c:pt>
                <c:pt idx="219">
                  <c:v>#N/A</c:v>
                </c:pt>
                <c:pt idx="220">
                  <c:v>#N/A</c:v>
                </c:pt>
                <c:pt idx="221">
                  <c:v>#N/A</c:v>
                </c:pt>
                <c:pt idx="222">
                  <c:v>#N/A</c:v>
                </c:pt>
                <c:pt idx="223">
                  <c:v>#N/A</c:v>
                </c:pt>
                <c:pt idx="224">
                  <c:v>8.9999999999999485</c:v>
                </c:pt>
                <c:pt idx="225">
                  <c:v>#N/A</c:v>
                </c:pt>
                <c:pt idx="226">
                  <c:v>#N/A</c:v>
                </c:pt>
                <c:pt idx="227">
                  <c:v>#N/A</c:v>
                </c:pt>
                <c:pt idx="228">
                  <c:v>#N/A</c:v>
                </c:pt>
                <c:pt idx="229">
                  <c:v>#N/A</c:v>
                </c:pt>
                <c:pt idx="230">
                  <c:v>#N/A</c:v>
                </c:pt>
                <c:pt idx="231">
                  <c:v>#N/A</c:v>
                </c:pt>
                <c:pt idx="232">
                  <c:v>#N/A</c:v>
                </c:pt>
                <c:pt idx="233">
                  <c:v>#N/A</c:v>
                </c:pt>
                <c:pt idx="234">
                  <c:v>9.9999999999999449</c:v>
                </c:pt>
                <c:pt idx="235">
                  <c:v>#N/A</c:v>
                </c:pt>
                <c:pt idx="236">
                  <c:v>#N/A</c:v>
                </c:pt>
                <c:pt idx="237">
                  <c:v>#N/A</c:v>
                </c:pt>
                <c:pt idx="238">
                  <c:v>#N/A</c:v>
                </c:pt>
                <c:pt idx="239">
                  <c:v>#N/A</c:v>
                </c:pt>
                <c:pt idx="240">
                  <c:v>#N/A</c:v>
                </c:pt>
                <c:pt idx="241">
                  <c:v>#N/A</c:v>
                </c:pt>
                <c:pt idx="242">
                  <c:v>#N/A</c:v>
                </c:pt>
                <c:pt idx="243">
                  <c:v>#N/A</c:v>
                </c:pt>
                <c:pt idx="244">
                  <c:v>10.999999999999941</c:v>
                </c:pt>
                <c:pt idx="245">
                  <c:v>#N/A</c:v>
                </c:pt>
                <c:pt idx="246">
                  <c:v>#N/A</c:v>
                </c:pt>
                <c:pt idx="247">
                  <c:v>#N/A</c:v>
                </c:pt>
                <c:pt idx="248">
                  <c:v>#N/A</c:v>
                </c:pt>
                <c:pt idx="249">
                  <c:v>#N/A</c:v>
                </c:pt>
                <c:pt idx="250">
                  <c:v>#N/A</c:v>
                </c:pt>
                <c:pt idx="251">
                  <c:v>#N/A</c:v>
                </c:pt>
                <c:pt idx="252">
                  <c:v>#N/A</c:v>
                </c:pt>
                <c:pt idx="253">
                  <c:v>#N/A</c:v>
                </c:pt>
                <c:pt idx="254">
                  <c:v>11.999999999999938</c:v>
                </c:pt>
                <c:pt idx="255">
                  <c:v>#N/A</c:v>
                </c:pt>
                <c:pt idx="256">
                  <c:v>#N/A</c:v>
                </c:pt>
                <c:pt idx="257">
                  <c:v>#N/A</c:v>
                </c:pt>
                <c:pt idx="258">
                  <c:v>#N/A</c:v>
                </c:pt>
                <c:pt idx="259">
                  <c:v>#N/A</c:v>
                </c:pt>
                <c:pt idx="260">
                  <c:v>#N/A</c:v>
                </c:pt>
                <c:pt idx="261">
                  <c:v>#N/A</c:v>
                </c:pt>
                <c:pt idx="262">
                  <c:v>#N/A</c:v>
                </c:pt>
                <c:pt idx="263">
                  <c:v>#N/A</c:v>
                </c:pt>
                <c:pt idx="264">
                  <c:v>12.999999999999934</c:v>
                </c:pt>
                <c:pt idx="265">
                  <c:v>#N/A</c:v>
                </c:pt>
                <c:pt idx="266">
                  <c:v>#N/A</c:v>
                </c:pt>
                <c:pt idx="267">
                  <c:v>#N/A</c:v>
                </c:pt>
                <c:pt idx="268">
                  <c:v>#N/A</c:v>
                </c:pt>
                <c:pt idx="269">
                  <c:v>#N/A</c:v>
                </c:pt>
                <c:pt idx="270">
                  <c:v>#N/A</c:v>
                </c:pt>
                <c:pt idx="271">
                  <c:v>#N/A</c:v>
                </c:pt>
                <c:pt idx="272">
                  <c:v>#N/A</c:v>
                </c:pt>
                <c:pt idx="273">
                  <c:v>#N/A</c:v>
                </c:pt>
                <c:pt idx="274">
                  <c:v>13.999999999999931</c:v>
                </c:pt>
                <c:pt idx="275">
                  <c:v>#N/A</c:v>
                </c:pt>
                <c:pt idx="276">
                  <c:v>#N/A</c:v>
                </c:pt>
                <c:pt idx="277">
                  <c:v>#N/A</c:v>
                </c:pt>
                <c:pt idx="278">
                  <c:v>#N/A</c:v>
                </c:pt>
                <c:pt idx="279">
                  <c:v>#N/A</c:v>
                </c:pt>
                <c:pt idx="280">
                  <c:v>#N/A</c:v>
                </c:pt>
                <c:pt idx="281">
                  <c:v>#N/A</c:v>
                </c:pt>
                <c:pt idx="282">
                  <c:v>#N/A</c:v>
                </c:pt>
                <c:pt idx="283">
                  <c:v>#N/A</c:v>
                </c:pt>
                <c:pt idx="284">
                  <c:v>14.999999999999927</c:v>
                </c:pt>
                <c:pt idx="285">
                  <c:v>#N/A</c:v>
                </c:pt>
                <c:pt idx="286">
                  <c:v>#N/A</c:v>
                </c:pt>
                <c:pt idx="287">
                  <c:v>#N/A</c:v>
                </c:pt>
                <c:pt idx="288">
                  <c:v>#N/A</c:v>
                </c:pt>
                <c:pt idx="289">
                  <c:v>#N/A</c:v>
                </c:pt>
                <c:pt idx="290">
                  <c:v>#N/A</c:v>
                </c:pt>
                <c:pt idx="291">
                  <c:v>#N/A</c:v>
                </c:pt>
                <c:pt idx="292">
                  <c:v>#N/A</c:v>
                </c:pt>
                <c:pt idx="293">
                  <c:v>#N/A</c:v>
                </c:pt>
                <c:pt idx="294">
                  <c:v>15.999999999999924</c:v>
                </c:pt>
                <c:pt idx="295">
                  <c:v>#N/A</c:v>
                </c:pt>
                <c:pt idx="296">
                  <c:v>#N/A</c:v>
                </c:pt>
                <c:pt idx="297">
                  <c:v>#N/A</c:v>
                </c:pt>
                <c:pt idx="298">
                  <c:v>#N/A</c:v>
                </c:pt>
                <c:pt idx="299">
                  <c:v>#N/A</c:v>
                </c:pt>
                <c:pt idx="300">
                  <c:v>#N/A</c:v>
                </c:pt>
                <c:pt idx="301">
                  <c:v>#N/A</c:v>
                </c:pt>
                <c:pt idx="302">
                  <c:v>#N/A</c:v>
                </c:pt>
                <c:pt idx="303">
                  <c:v>#N/A</c:v>
                </c:pt>
                <c:pt idx="304">
                  <c:v>16.999999999999936</c:v>
                </c:pt>
                <c:pt idx="305">
                  <c:v>#N/A</c:v>
                </c:pt>
                <c:pt idx="306">
                  <c:v>#N/A</c:v>
                </c:pt>
                <c:pt idx="307">
                  <c:v>#N/A</c:v>
                </c:pt>
                <c:pt idx="308">
                  <c:v>#N/A</c:v>
                </c:pt>
                <c:pt idx="309">
                  <c:v>#N/A</c:v>
                </c:pt>
                <c:pt idx="310">
                  <c:v>#N/A</c:v>
                </c:pt>
                <c:pt idx="311">
                  <c:v>#N/A</c:v>
                </c:pt>
                <c:pt idx="312">
                  <c:v>#N/A</c:v>
                </c:pt>
                <c:pt idx="313">
                  <c:v>#N/A</c:v>
                </c:pt>
                <c:pt idx="314">
                  <c:v>17.99999999999995</c:v>
                </c:pt>
                <c:pt idx="315">
                  <c:v>#N/A</c:v>
                </c:pt>
                <c:pt idx="316">
                  <c:v>#N/A</c:v>
                </c:pt>
                <c:pt idx="317">
                  <c:v>#N/A</c:v>
                </c:pt>
                <c:pt idx="318">
                  <c:v>#N/A</c:v>
                </c:pt>
                <c:pt idx="319">
                  <c:v>#N/A</c:v>
                </c:pt>
                <c:pt idx="320">
                  <c:v>#N/A</c:v>
                </c:pt>
                <c:pt idx="321">
                  <c:v>#N/A</c:v>
                </c:pt>
                <c:pt idx="322">
                  <c:v>#N/A</c:v>
                </c:pt>
                <c:pt idx="323">
                  <c:v>#N/A</c:v>
                </c:pt>
                <c:pt idx="324">
                  <c:v>18.999999999999964</c:v>
                </c:pt>
                <c:pt idx="325">
                  <c:v>#N/A</c:v>
                </c:pt>
                <c:pt idx="326">
                  <c:v>#N/A</c:v>
                </c:pt>
                <c:pt idx="327">
                  <c:v>#N/A</c:v>
                </c:pt>
                <c:pt idx="328">
                  <c:v>#N/A</c:v>
                </c:pt>
                <c:pt idx="329">
                  <c:v>#N/A</c:v>
                </c:pt>
                <c:pt idx="330">
                  <c:v>#N/A</c:v>
                </c:pt>
                <c:pt idx="331">
                  <c:v>#N/A</c:v>
                </c:pt>
                <c:pt idx="332">
                  <c:v>#N/A</c:v>
                </c:pt>
                <c:pt idx="333">
                  <c:v>#N/A</c:v>
                </c:pt>
                <c:pt idx="334">
                  <c:v>19.999999999999979</c:v>
                </c:pt>
                <c:pt idx="335">
                  <c:v>#N/A</c:v>
                </c:pt>
                <c:pt idx="336">
                  <c:v>#N/A</c:v>
                </c:pt>
                <c:pt idx="337">
                  <c:v>#N/A</c:v>
                </c:pt>
                <c:pt idx="338">
                  <c:v>#N/A</c:v>
                </c:pt>
                <c:pt idx="339">
                  <c:v>#N/A</c:v>
                </c:pt>
                <c:pt idx="340">
                  <c:v>#N/A</c:v>
                </c:pt>
                <c:pt idx="341">
                  <c:v>#N/A</c:v>
                </c:pt>
                <c:pt idx="342">
                  <c:v>#N/A</c:v>
                </c:pt>
                <c:pt idx="343">
                  <c:v>#N/A</c:v>
                </c:pt>
                <c:pt idx="344">
                  <c:v>20.999999999999993</c:v>
                </c:pt>
                <c:pt idx="345">
                  <c:v>#N/A</c:v>
                </c:pt>
                <c:pt idx="346">
                  <c:v>#N/A</c:v>
                </c:pt>
                <c:pt idx="347">
                  <c:v>#N/A</c:v>
                </c:pt>
                <c:pt idx="348">
                  <c:v>#N/A</c:v>
                </c:pt>
                <c:pt idx="349">
                  <c:v>#N/A</c:v>
                </c:pt>
                <c:pt idx="350">
                  <c:v>#N/A</c:v>
                </c:pt>
                <c:pt idx="351">
                  <c:v>#N/A</c:v>
                </c:pt>
                <c:pt idx="352">
                  <c:v>#N/A</c:v>
                </c:pt>
                <c:pt idx="353">
                  <c:v>#N/A</c:v>
                </c:pt>
                <c:pt idx="354">
                  <c:v>22.000000000000007</c:v>
                </c:pt>
                <c:pt idx="355">
                  <c:v>#N/A</c:v>
                </c:pt>
                <c:pt idx="356">
                  <c:v>#N/A</c:v>
                </c:pt>
                <c:pt idx="357">
                  <c:v>#N/A</c:v>
                </c:pt>
                <c:pt idx="358">
                  <c:v>#N/A</c:v>
                </c:pt>
                <c:pt idx="359">
                  <c:v>#N/A</c:v>
                </c:pt>
                <c:pt idx="360">
                  <c:v>#N/A</c:v>
                </c:pt>
                <c:pt idx="361">
                  <c:v>#N/A</c:v>
                </c:pt>
                <c:pt idx="362">
                  <c:v>#N/A</c:v>
                </c:pt>
                <c:pt idx="363">
                  <c:v>#N/A</c:v>
                </c:pt>
                <c:pt idx="364">
                  <c:v>23.000000000000021</c:v>
                </c:pt>
                <c:pt idx="365">
                  <c:v>#N/A</c:v>
                </c:pt>
                <c:pt idx="366">
                  <c:v>#N/A</c:v>
                </c:pt>
                <c:pt idx="367">
                  <c:v>#N/A</c:v>
                </c:pt>
                <c:pt idx="368">
                  <c:v>#N/A</c:v>
                </c:pt>
                <c:pt idx="369">
                  <c:v>#N/A</c:v>
                </c:pt>
                <c:pt idx="370">
                  <c:v>#N/A</c:v>
                </c:pt>
                <c:pt idx="371">
                  <c:v>#N/A</c:v>
                </c:pt>
                <c:pt idx="372">
                  <c:v>#N/A</c:v>
                </c:pt>
                <c:pt idx="373">
                  <c:v>#N/A</c:v>
                </c:pt>
                <c:pt idx="374">
                  <c:v>24.000000000000036</c:v>
                </c:pt>
                <c:pt idx="375">
                  <c:v>#N/A</c:v>
                </c:pt>
                <c:pt idx="376">
                  <c:v>#N/A</c:v>
                </c:pt>
                <c:pt idx="377">
                  <c:v>#N/A</c:v>
                </c:pt>
                <c:pt idx="378">
                  <c:v>#N/A</c:v>
                </c:pt>
                <c:pt idx="379">
                  <c:v>#N/A</c:v>
                </c:pt>
                <c:pt idx="380">
                  <c:v>#N/A</c:v>
                </c:pt>
                <c:pt idx="381">
                  <c:v>#N/A</c:v>
                </c:pt>
                <c:pt idx="382">
                  <c:v>#N/A</c:v>
                </c:pt>
                <c:pt idx="383">
                  <c:v>#N/A</c:v>
                </c:pt>
                <c:pt idx="384">
                  <c:v>25.00000000000005</c:v>
                </c:pt>
                <c:pt idx="385">
                  <c:v>#N/A</c:v>
                </c:pt>
                <c:pt idx="386">
                  <c:v>#N/A</c:v>
                </c:pt>
                <c:pt idx="387">
                  <c:v>#N/A</c:v>
                </c:pt>
                <c:pt idx="388">
                  <c:v>#N/A</c:v>
                </c:pt>
                <c:pt idx="389">
                  <c:v>#N/A</c:v>
                </c:pt>
                <c:pt idx="390">
                  <c:v>#N/A</c:v>
                </c:pt>
                <c:pt idx="391">
                  <c:v>#N/A</c:v>
                </c:pt>
                <c:pt idx="392">
                  <c:v>#N/A</c:v>
                </c:pt>
                <c:pt idx="393">
                  <c:v>#N/A</c:v>
                </c:pt>
                <c:pt idx="394">
                  <c:v>26.000000000000064</c:v>
                </c:pt>
                <c:pt idx="395">
                  <c:v>#N/A</c:v>
                </c:pt>
                <c:pt idx="396">
                  <c:v>#N/A</c:v>
                </c:pt>
                <c:pt idx="397">
                  <c:v>#N/A</c:v>
                </c:pt>
                <c:pt idx="398">
                  <c:v>#N/A</c:v>
                </c:pt>
                <c:pt idx="399">
                  <c:v>#N/A</c:v>
                </c:pt>
                <c:pt idx="400">
                  <c:v>#N/A</c:v>
                </c:pt>
                <c:pt idx="401">
                  <c:v>#N/A</c:v>
                </c:pt>
                <c:pt idx="402">
                  <c:v>#N/A</c:v>
                </c:pt>
                <c:pt idx="403">
                  <c:v>#N/A</c:v>
                </c:pt>
                <c:pt idx="404">
                  <c:v>27.000000000000078</c:v>
                </c:pt>
                <c:pt idx="405">
                  <c:v>#N/A</c:v>
                </c:pt>
                <c:pt idx="406">
                  <c:v>#N/A</c:v>
                </c:pt>
                <c:pt idx="407">
                  <c:v>#N/A</c:v>
                </c:pt>
                <c:pt idx="408">
                  <c:v>#N/A</c:v>
                </c:pt>
                <c:pt idx="409">
                  <c:v>#N/A</c:v>
                </c:pt>
                <c:pt idx="410">
                  <c:v>#N/A</c:v>
                </c:pt>
                <c:pt idx="411">
                  <c:v>#N/A</c:v>
                </c:pt>
                <c:pt idx="412">
                  <c:v>#N/A</c:v>
                </c:pt>
                <c:pt idx="413">
                  <c:v>#N/A</c:v>
                </c:pt>
                <c:pt idx="414">
                  <c:v>28.000000000000092</c:v>
                </c:pt>
                <c:pt idx="415">
                  <c:v>#N/A</c:v>
                </c:pt>
                <c:pt idx="416">
                  <c:v>#N/A</c:v>
                </c:pt>
                <c:pt idx="417">
                  <c:v>#N/A</c:v>
                </c:pt>
                <c:pt idx="418">
                  <c:v>#N/A</c:v>
                </c:pt>
                <c:pt idx="419">
                  <c:v>#N/A</c:v>
                </c:pt>
                <c:pt idx="420">
                  <c:v>#N/A</c:v>
                </c:pt>
                <c:pt idx="421">
                  <c:v>#N/A</c:v>
                </c:pt>
                <c:pt idx="422">
                  <c:v>#N/A</c:v>
                </c:pt>
                <c:pt idx="423">
                  <c:v>#N/A</c:v>
                </c:pt>
                <c:pt idx="424">
                  <c:v>29.000000000000107</c:v>
                </c:pt>
                <c:pt idx="425">
                  <c:v>#N/A</c:v>
                </c:pt>
                <c:pt idx="426">
                  <c:v>#N/A</c:v>
                </c:pt>
                <c:pt idx="427">
                  <c:v>#N/A</c:v>
                </c:pt>
                <c:pt idx="428">
                  <c:v>#N/A</c:v>
                </c:pt>
                <c:pt idx="429">
                  <c:v>#N/A</c:v>
                </c:pt>
                <c:pt idx="430">
                  <c:v>#N/A</c:v>
                </c:pt>
                <c:pt idx="431">
                  <c:v>#N/A</c:v>
                </c:pt>
                <c:pt idx="432">
                  <c:v>#N/A</c:v>
                </c:pt>
                <c:pt idx="433">
                  <c:v>#N/A</c:v>
                </c:pt>
                <c:pt idx="434">
                  <c:v>30.000000000000121</c:v>
                </c:pt>
                <c:pt idx="435">
                  <c:v>#N/A</c:v>
                </c:pt>
                <c:pt idx="436">
                  <c:v>#N/A</c:v>
                </c:pt>
                <c:pt idx="437">
                  <c:v>#N/A</c:v>
                </c:pt>
                <c:pt idx="438">
                  <c:v>#N/A</c:v>
                </c:pt>
                <c:pt idx="439">
                  <c:v>#N/A</c:v>
                </c:pt>
                <c:pt idx="440">
                  <c:v>#N/A</c:v>
                </c:pt>
                <c:pt idx="441">
                  <c:v>#N/A</c:v>
                </c:pt>
                <c:pt idx="442">
                  <c:v>#N/A</c:v>
                </c:pt>
                <c:pt idx="443">
                  <c:v>#N/A</c:v>
                </c:pt>
                <c:pt idx="444">
                  <c:v>31.000000000000135</c:v>
                </c:pt>
                <c:pt idx="445">
                  <c:v>#N/A</c:v>
                </c:pt>
                <c:pt idx="446">
                  <c:v>#N/A</c:v>
                </c:pt>
                <c:pt idx="447">
                  <c:v>#N/A</c:v>
                </c:pt>
                <c:pt idx="448">
                  <c:v>#N/A</c:v>
                </c:pt>
                <c:pt idx="449">
                  <c:v>#N/A</c:v>
                </c:pt>
                <c:pt idx="450">
                  <c:v>#N/A</c:v>
                </c:pt>
                <c:pt idx="451">
                  <c:v>#N/A</c:v>
                </c:pt>
                <c:pt idx="452">
                  <c:v>#N/A</c:v>
                </c:pt>
                <c:pt idx="453">
                  <c:v>#N/A</c:v>
                </c:pt>
                <c:pt idx="454">
                  <c:v>32.000000000000149</c:v>
                </c:pt>
                <c:pt idx="455">
                  <c:v>#N/A</c:v>
                </c:pt>
                <c:pt idx="456">
                  <c:v>#N/A</c:v>
                </c:pt>
                <c:pt idx="457">
                  <c:v>#N/A</c:v>
                </c:pt>
                <c:pt idx="458">
                  <c:v>#N/A</c:v>
                </c:pt>
                <c:pt idx="459">
                  <c:v>#N/A</c:v>
                </c:pt>
                <c:pt idx="460">
                  <c:v>#N/A</c:v>
                </c:pt>
                <c:pt idx="461">
                  <c:v>#N/A</c:v>
                </c:pt>
                <c:pt idx="462">
                  <c:v>#N/A</c:v>
                </c:pt>
                <c:pt idx="463">
                  <c:v>#N/A</c:v>
                </c:pt>
                <c:pt idx="464">
                  <c:v>33.000000000000163</c:v>
                </c:pt>
                <c:pt idx="465">
                  <c:v>#N/A</c:v>
                </c:pt>
                <c:pt idx="466">
                  <c:v>#N/A</c:v>
                </c:pt>
                <c:pt idx="467">
                  <c:v>#N/A</c:v>
                </c:pt>
                <c:pt idx="468">
                  <c:v>#N/A</c:v>
                </c:pt>
                <c:pt idx="469">
                  <c:v>#N/A</c:v>
                </c:pt>
                <c:pt idx="470">
                  <c:v>#N/A</c:v>
                </c:pt>
                <c:pt idx="471">
                  <c:v>#N/A</c:v>
                </c:pt>
                <c:pt idx="472">
                  <c:v>#N/A</c:v>
                </c:pt>
                <c:pt idx="473">
                  <c:v>#N/A</c:v>
                </c:pt>
                <c:pt idx="474">
                  <c:v>34.000000000000178</c:v>
                </c:pt>
                <c:pt idx="475">
                  <c:v>#N/A</c:v>
                </c:pt>
                <c:pt idx="476">
                  <c:v>#N/A</c:v>
                </c:pt>
                <c:pt idx="477">
                  <c:v>#N/A</c:v>
                </c:pt>
                <c:pt idx="478">
                  <c:v>#N/A</c:v>
                </c:pt>
                <c:pt idx="479">
                  <c:v>#N/A</c:v>
                </c:pt>
                <c:pt idx="480">
                  <c:v>#N/A</c:v>
                </c:pt>
                <c:pt idx="481">
                  <c:v>#N/A</c:v>
                </c:pt>
                <c:pt idx="482">
                  <c:v>#N/A</c:v>
                </c:pt>
                <c:pt idx="483">
                  <c:v>#N/A</c:v>
                </c:pt>
                <c:pt idx="484">
                  <c:v>35.000000000000192</c:v>
                </c:pt>
                <c:pt idx="485">
                  <c:v>#N/A</c:v>
                </c:pt>
                <c:pt idx="486">
                  <c:v>#N/A</c:v>
                </c:pt>
                <c:pt idx="487">
                  <c:v>#N/A</c:v>
                </c:pt>
                <c:pt idx="488">
                  <c:v>#N/A</c:v>
                </c:pt>
                <c:pt idx="489">
                  <c:v>#N/A</c:v>
                </c:pt>
                <c:pt idx="490">
                  <c:v>#N/A</c:v>
                </c:pt>
                <c:pt idx="491">
                  <c:v>#N/A</c:v>
                </c:pt>
                <c:pt idx="492">
                  <c:v>#N/A</c:v>
                </c:pt>
                <c:pt idx="493">
                  <c:v>#N/A</c:v>
                </c:pt>
                <c:pt idx="494">
                  <c:v>36.000000000000206</c:v>
                </c:pt>
                <c:pt idx="495">
                  <c:v>#N/A</c:v>
                </c:pt>
                <c:pt idx="496">
                  <c:v>#N/A</c:v>
                </c:pt>
                <c:pt idx="497">
                  <c:v>#N/A</c:v>
                </c:pt>
                <c:pt idx="498">
                  <c:v>#N/A</c:v>
                </c:pt>
                <c:pt idx="499">
                  <c:v>#N/A</c:v>
                </c:pt>
                <c:pt idx="500">
                  <c:v>#N/A</c:v>
                </c:pt>
                <c:pt idx="501">
                  <c:v>#N/A</c:v>
                </c:pt>
                <c:pt idx="502">
                  <c:v>#N/A</c:v>
                </c:pt>
                <c:pt idx="503">
                  <c:v>#N/A</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1439.2960512198395</c:v>
                </c:pt>
                <c:pt idx="300">
                  <c:v>1439.220172805746</c:v>
                </c:pt>
                <c:pt idx="301">
                  <c:v>1439.0463287411173</c:v>
                </c:pt>
                <c:pt idx="302">
                  <c:v>1438.7746926797149</c:v>
                </c:pt>
                <c:pt idx="303">
                  <c:v>1438.405438861068</c:v>
                </c:pt>
                <c:pt idx="304">
                  <c:v>1437.9387429409912</c:v>
                </c:pt>
                <c:pt idx="305">
                  <c:v>1437.3747827973571</c:v>
                </c:pt>
                <c:pt idx="306">
                  <c:v>1436.7137393054052</c:v>
                </c:pt>
                <c:pt idx="307">
                  <c:v>1435.9557970775634</c:v>
                </c:pt>
                <c:pt idx="308">
                  <c:v>1435.1011451635734</c:v>
                </c:pt>
                <c:pt idx="309">
                  <c:v>1434.1499777075967</c:v>
                </c:pt>
                <c:pt idx="310">
                  <c:v>1433.1024945598904</c:v>
                </c:pt>
                <c:pt idx="311">
                  <c:v>1431.9589018415259</c:v>
                </c:pt>
                <c:pt idx="312">
                  <c:v>1430.7194124614621</c:v>
                </c:pt>
                <c:pt idx="313">
                  <c:v>1429.3842465860262</c:v>
                </c:pt>
                <c:pt idx="314">
                  <c:v>1427.9536320615039</c:v>
                </c:pt>
                <c:pt idx="315">
                  <c:v>1426.4278047910741</c:v>
                </c:pt>
                <c:pt idx="316">
                  <c:v>1424.8070090677443</c:v>
                </c:pt>
                <c:pt idx="317">
                  <c:v>1423.0914978652615</c:v>
                </c:pt>
                <c:pt idx="318">
                  <c:v>1421.2815330891883</c:v>
                </c:pt>
                <c:pt idx="319">
                  <c:v>1419.3773857904673</c:v>
                </c:pt>
                <c:pt idx="320">
                  <c:v>1417.3793363438613</c:v>
                </c:pt>
                <c:pt idx="321">
                  <c:v>1415.2876745936546</c:v>
                </c:pt>
                <c:pt idx="322">
                  <c:v>1413.1026999689614</c:v>
                </c:pt>
                <c:pt idx="323">
                  <c:v>1410.8247215709057</c:v>
                </c:pt>
                <c:pt idx="324">
                  <c:v>1408.45405823384</c:v>
                </c:pt>
                <c:pt idx="325">
                  <c:v>1405.9910385626465</c:v>
                </c:pt>
                <c:pt idx="326">
                  <c:v>1403.436000948042</c:v>
                </c:pt>
                <c:pt idx="327">
                  <c:v>1400.789293561673</c:v>
                </c:pt>
                <c:pt idx="328">
                  <c:v>1398.0512743326606</c:v>
                </c:pt>
                <c:pt idx="329">
                  <c:v>1395.222310907121</c:v>
                </c:pt>
                <c:pt idx="330">
                  <c:v>1392.3027805920738</c:v>
                </c:pt>
                <c:pt idx="331">
                  <c:v>1389.2930702850265</c:v>
                </c:pt>
                <c:pt idx="332">
                  <c:v>1386.1935763904235</c:v>
                </c:pt>
                <c:pt idx="333">
                  <c:v>1383.0047047240421</c:v>
                </c:pt>
                <c:pt idx="334">
                  <c:v>1379.7268704063308</c:v>
                </c:pt>
                <c:pt idx="335">
                  <c:v>1376.3604977455996</c:v>
                </c:pt>
                <c:pt idx="336">
                  <c:v>1372.9060201118973</c:v>
                </c:pt>
                <c:pt idx="337">
                  <c:v>1369.3638798023426</c:v>
                </c:pt>
                <c:pt idx="338">
                  <c:v>1365.7345278986102</c:v>
                </c:pt>
                <c:pt idx="339">
                  <c:v>1362.0184241172233</c:v>
                </c:pt>
                <c:pt idx="340">
                  <c:v>1358.2160366532491</c:v>
                </c:pt>
                <c:pt idx="341">
                  <c:v>1354.3278420179506</c:v>
                </c:pt>
                <c:pt idx="342">
                  <c:v>1350.3543248709061</c:v>
                </c:pt>
                <c:pt idx="343">
                  <c:v>1346.2959778470768</c:v>
                </c:pt>
                <c:pt idx="344">
                  <c:v>1342.1533013792621</c:v>
                </c:pt>
                <c:pt idx="345">
                  <c:v>1337.9268035163607</c:v>
                </c:pt>
                <c:pt idx="346">
                  <c:v>1333.6169997378242</c:v>
                </c:pt>
                <c:pt idx="347">
                  <c:v>1329.2244127646698</c:v>
                </c:pt>
                <c:pt idx="348">
                  <c:v>1324.7495723673933</c:v>
                </c:pt>
                <c:pt idx="349">
                  <c:v>1320.1930151711113</c:v>
                </c:pt>
                <c:pt idx="350">
                  <c:v>1315.5552844582342</c:v>
                </c:pt>
                <c:pt idx="351">
                  <c:v>1310.836929968965</c:v>
                </c:pt>
                <c:pt idx="352">
                  <c:v>1306.0385076998984</c:v>
                </c:pt>
                <c:pt idx="353">
                  <c:v>1301.1605797009843</c:v>
                </c:pt>
                <c:pt idx="354">
                  <c:v>1296.2037138711066</c:v>
                </c:pt>
                <c:pt idx="355">
                  <c:v>1291.1684837525172</c:v>
                </c:pt>
                <c:pt idx="356">
                  <c:v>1286.0554683243527</c:v>
                </c:pt>
                <c:pt idx="357">
                  <c:v>1280.8652517954565</c:v>
                </c:pt>
                <c:pt idx="358">
                  <c:v>1275.5984233967142</c:v>
                </c:pt>
                <c:pt idx="359">
                  <c:v>1270.2555771731047</c:v>
                </c:pt>
                <c:pt idx="360">
                  <c:v>1264.8373117756607</c:v>
                </c:pt>
                <c:pt idx="361">
                  <c:v>1259.3442302535261</c:v>
                </c:pt>
                <c:pt idx="362">
                  <c:v>1253.7769398462867</c:v>
                </c:pt>
                <c:pt idx="363">
                  <c:v>1248.1360517767473</c:v>
                </c:pt>
                <c:pt idx="364">
                  <c:v>1242.422181044321</c:v>
                </c:pt>
                <c:pt idx="365">
                  <c:v>1236.6359462191879</c:v>
                </c:pt>
                <c:pt idx="366">
                  <c:v>1230.7779692373767</c:v>
                </c:pt>
                <c:pt idx="367">
                  <c:v>1224.8488751969155</c:v>
                </c:pt>
                <c:pt idx="368">
                  <c:v>1218.8492921551917</c:v>
                </c:pt>
                <c:pt idx="369">
                  <c:v>1212.7798509276574</c:v>
                </c:pt>
                <c:pt idx="370">
                  <c:v>1206.641184888008</c:v>
                </c:pt>
                <c:pt idx="371">
                  <c:v>1200.4339297699594</c:v>
                </c:pt>
                <c:pt idx="372">
                  <c:v>1194.1587234707411</c:v>
                </c:pt>
                <c:pt idx="373">
                  <c:v>1187.8162058564199</c:v>
                </c:pt>
                <c:pt idx="374">
                  <c:v>1181.4070185691617</c:v>
                </c:pt>
                <c:pt idx="375">
                  <c:v>1174.9318048365344</c:v>
                </c:pt>
                <c:pt idx="376">
                  <c:v>1168.3912092829521</c:v>
                </c:pt>
                <c:pt idx="377">
                  <c:v>1161.7858777433516</c:v>
                </c:pt>
                <c:pt idx="378">
                  <c:v>1155.1164570791914</c:v>
                </c:pt>
                <c:pt idx="379">
                  <c:v>1148.3835949968575</c:v>
                </c:pt>
                <c:pt idx="380">
                  <c:v>1141.5879398685552</c:v>
                </c:pt>
                <c:pt idx="381">
                  <c:v>1134.7301405557605</c:v>
                </c:pt>
                <c:pt idx="382">
                  <c:v>1127.8108462353041</c:v>
                </c:pt>
                <c:pt idx="383">
                  <c:v>1120.830706228151</c:v>
                </c:pt>
                <c:pt idx="384">
                  <c:v>1113.790369830941</c:v>
                </c:pt>
                <c:pt idx="385">
                  <c:v>1106.6904861503438</c:v>
                </c:pt>
                <c:pt idx="386">
                  <c:v>1099.5317039402853</c:v>
                </c:pt>
                <c:pt idx="387">
                  <c:v>1092.314671442092</c:v>
                </c:pt>
                <c:pt idx="388">
                  <c:v>1085.0400362276005</c:v>
                </c:pt>
                <c:pt idx="389">
                  <c:v>1077.7084450452714</c:v>
                </c:pt>
                <c:pt idx="390">
                  <c:v>1070.3205436693479</c:v>
                </c:pt>
                <c:pt idx="391">
                  <c:v>1062.8769767520889</c:v>
                </c:pt>
                <c:pt idx="392">
                  <c:v>1055.3783876791113</c:v>
                </c:pt>
                <c:pt idx="393">
                  <c:v>1047.8254184278633</c:v>
                </c:pt>
                <c:pt idx="394">
                  <c:v>1040.2187094292551</c:v>
                </c:pt>
                <c:pt idx="395">
                  <c:v>1032.5588994324639</c:v>
                </c:pt>
                <c:pt idx="396">
                  <c:v>1024.8466253729314</c:v>
                </c:pt>
                <c:pt idx="397">
                  <c:v>1017.0825222435648</c:v>
                </c:pt>
                <c:pt idx="398">
                  <c:v>1009.2672229691525</c:v>
                </c:pt>
                <c:pt idx="399">
                  <c:v>1001.4013582840001</c:v>
                </c:pt>
                <c:pt idx="400">
                  <c:v>993.48555661279079</c:v>
                </c:pt>
                <c:pt idx="401">
                  <c:v>985.52044395467033</c:v>
                </c:pt>
                <c:pt idx="402">
                  <c:v>977.5066437705558</c:v>
                </c:pt>
                <c:pt idx="403">
                  <c:v>969.44477687366145</c:v>
                </c:pt>
                <c:pt idx="404">
                  <c:v>961.33546132323602</c:v>
                </c:pt>
                <c:pt idx="405">
                  <c:v>953.17931232150011</c:v>
                </c:pt>
                <c:pt idx="406">
                  <c:v>944.97694211377279</c:v>
                </c:pt>
                <c:pt idx="407">
                  <c:v>936.72895989177096</c:v>
                </c:pt>
                <c:pt idx="408">
                  <c:v>928.43597170006603</c:v>
                </c:pt>
                <c:pt idx="409">
                  <c:v>920.0985803456781</c:v>
                </c:pt>
                <c:pt idx="410">
                  <c:v>911.7173853107862</c:v>
                </c:pt>
                <c:pt idx="411">
                  <c:v>903.29298266853209</c:v>
                </c:pt>
                <c:pt idx="412">
                  <c:v>894.82596500189209</c:v>
                </c:pt>
                <c:pt idx="413">
                  <c:v>886.31692132558999</c:v>
                </c:pt>
                <c:pt idx="414">
                  <c:v>877.76643701102307</c:v>
                </c:pt>
                <c:pt idx="415">
                  <c:v>869.17509371417032</c:v>
                </c:pt>
                <c:pt idx="416">
                  <c:v>860.54346930645147</c:v>
                </c:pt>
                <c:pt idx="417">
                  <c:v>851.87213780850357</c:v>
                </c:pt>
                <c:pt idx="418">
                  <c:v>843.16166932684075</c:v>
                </c:pt>
                <c:pt idx="419">
                  <c:v>834.41262999336107</c:v>
                </c:pt>
                <c:pt idx="420">
                  <c:v>825.62558190766333</c:v>
                </c:pt>
                <c:pt idx="421">
                  <c:v>816.80108308213573</c:v>
                </c:pt>
                <c:pt idx="422">
                  <c:v>807.93968738977742</c:v>
                </c:pt>
                <c:pt idx="423">
                  <c:v>799.04194451471199</c:v>
                </c:pt>
                <c:pt idx="424">
                  <c:v>790.10839990535294</c:v>
                </c:pt>
                <c:pt idx="425">
                  <c:v>781.13959473017769</c:v>
                </c:pt>
                <c:pt idx="426">
                  <c:v>772.1360658360685</c:v>
                </c:pt>
                <c:pt idx="427">
                  <c:v>763.09834570917667</c:v>
                </c:pt>
                <c:pt idx="428">
                  <c:v>754.02696243826563</c:v>
                </c:pt>
                <c:pt idx="429">
                  <c:v>744.92243968048888</c:v>
                </c:pt>
                <c:pt idx="430">
                  <c:v>735.78529662955714</c:v>
                </c:pt>
                <c:pt idx="431">
                  <c:v>726.61604798624921</c:v>
                </c:pt>
                <c:pt idx="432">
                  <c:v>717.41520393122141</c:v>
                </c:pt>
                <c:pt idx="433">
                  <c:v>708.18327010006863</c:v>
                </c:pt>
                <c:pt idx="434">
                  <c:v>698.9207475605906</c:v>
                </c:pt>
                <c:pt idx="435">
                  <c:v>689.628132792217</c:v>
                </c:pt>
                <c:pt idx="436">
                  <c:v>680.30591766754446</c:v>
                </c:pt>
                <c:pt idx="437">
                  <c:v>670.95458943593871</c:v>
                </c:pt>
                <c:pt idx="438">
                  <c:v>661.57463070915435</c:v>
                </c:pt>
                <c:pt idx="439">
                  <c:v>652.16651944892635</c:v>
                </c:pt>
                <c:pt idx="440">
                  <c:v>642.73072895648477</c:v>
                </c:pt>
                <c:pt idx="441">
                  <c:v>633.26772786394758</c:v>
                </c:pt>
                <c:pt idx="442">
                  <c:v>623.77798012754374</c:v>
                </c:pt>
                <c:pt idx="443">
                  <c:v>614.26194502262013</c:v>
                </c:pt>
                <c:pt idx="444">
                  <c:v>604.72007714038614</c:v>
                </c:pt>
                <c:pt idx="445">
                  <c:v>595.15282638635051</c:v>
                </c:pt>
                <c:pt idx="446">
                  <c:v>585.5606379804027</c:v>
                </c:pt>
                <c:pt idx="447">
                  <c:v>575.94395245849546</c:v>
                </c:pt>
                <c:pt idx="448">
                  <c:v>566.30320567588183</c:v>
                </c:pt>
                <c:pt idx="449">
                  <c:v>556.63882881186225</c:v>
                </c:pt>
                <c:pt idx="450">
                  <c:v>546.95124837599792</c:v>
                </c:pt>
                <c:pt idx="451">
                  <c:v>537.24088621574526</c:v>
                </c:pt>
                <c:pt idx="452">
                  <c:v>527.50815952546861</c:v>
                </c:pt>
                <c:pt idx="453">
                  <c:v>517.75348085678797</c:v>
                </c:pt>
                <c:pt idx="454">
                  <c:v>507.97725813021935</c:v>
                </c:pt>
                <c:pt idx="455">
                  <c:v>498.17989464806493</c:v>
                </c:pt>
                <c:pt idx="456">
                  <c:v>488.3617891085122</c:v>
                </c:pt>
                <c:pt idx="457">
                  <c:v>478.52333562090058</c:v>
                </c:pt>
                <c:pt idx="458">
                  <c:v>468.66492372211525</c:v>
                </c:pt>
                <c:pt idx="459">
                  <c:v>458.78693839406816</c:v>
                </c:pt>
                <c:pt idx="460">
                  <c:v>448.88976008222699</c:v>
                </c:pt>
                <c:pt idx="461">
                  <c:v>438.97376471515321</c:v>
                </c:pt>
                <c:pt idx="462">
                  <c:v>429.03932372501146</c:v>
                </c:pt>
                <c:pt idx="463">
                  <c:v>419.08680406901209</c:v>
                </c:pt>
                <c:pt idx="464">
                  <c:v>409.11656825175083</c:v>
                </c:pt>
                <c:pt idx="465">
                  <c:v>399.12897434840892</c:v>
                </c:pt>
                <c:pt idx="466">
                  <c:v>389.12437602877787</c:v>
                </c:pt>
                <c:pt idx="467">
                  <c:v>379.10312258207466</c:v>
                </c:pt>
                <c:pt idx="468">
                  <c:v>369.06555894251233</c:v>
                </c:pt>
                <c:pt idx="469">
                  <c:v>359.01202571559298</c:v>
                </c:pt>
                <c:pt idx="470">
                  <c:v>348.9428592050898</c:v>
                </c:pt>
                <c:pt idx="471">
                  <c:v>338.85839144068603</c:v>
                </c:pt>
                <c:pt idx="472">
                  <c:v>328.75895020623932</c:v>
                </c:pt>
                <c:pt idx="473">
                  <c:v>318.64485906864041</c:v>
                </c:pt>
                <c:pt idx="474">
                  <c:v>308.51643740723568</c:v>
                </c:pt>
                <c:pt idx="475">
                  <c:v>298.3740004437845</c:v>
                </c:pt>
                <c:pt idx="476">
                  <c:v>288.21785927292183</c:v>
                </c:pt>
                <c:pt idx="477">
                  <c:v>278.04832089309809</c:v>
                </c:pt>
                <c:pt idx="478">
                  <c:v>267.86568823796875</c:v>
                </c:pt>
                <c:pt idx="479">
                  <c:v>257.6702602082064</c:v>
                </c:pt>
                <c:pt idx="480">
                  <c:v>247.46233170370914</c:v>
                </c:pt>
                <c:pt idx="481">
                  <c:v>237.24219365617978</c:v>
                </c:pt>
                <c:pt idx="482">
                  <c:v>227.01013306205047</c:v>
                </c:pt>
                <c:pt idx="483">
                  <c:v>216.76643301572869</c:v>
                </c:pt>
                <c:pt idx="484">
                  <c:v>206.51137274314075</c:v>
                </c:pt>
                <c:pt idx="485">
                  <c:v>196.24522763554955</c:v>
                </c:pt>
                <c:pt idx="486">
                  <c:v>185.96826928362444</c:v>
                </c:pt>
                <c:pt idx="487">
                  <c:v>175.68076551174082</c:v>
                </c:pt>
                <c:pt idx="488">
                  <c:v>165.38298041248873</c:v>
                </c:pt>
                <c:pt idx="489">
                  <c:v>155.07517438136935</c:v>
                </c:pt>
                <c:pt idx="490">
                  <c:v>144.75760415165956</c:v>
                </c:pt>
                <c:pt idx="491">
                  <c:v>134.43052282942494</c:v>
                </c:pt>
                <c:pt idx="492">
                  <c:v>124.09417992866238</c:v>
                </c:pt>
                <c:pt idx="493">
                  <c:v>113.74882140655403</c:v>
                </c:pt>
                <c:pt idx="494">
                  <c:v>103.39468969881452</c:v>
                </c:pt>
                <c:pt idx="495">
                  <c:v>93.032023755114636</c:v>
                </c:pt>
                <c:pt idx="496">
                  <c:v>82.661059074564406</c:v>
                </c:pt>
                <c:pt idx="497">
                  <c:v>72.282027741239631</c:v>
                </c:pt>
                <c:pt idx="498">
                  <c:v>61.895158459736237</c:v>
                </c:pt>
                <c:pt idx="499">
                  <c:v>51.500676590737307</c:v>
                </c:pt>
                <c:pt idx="500">
                  <c:v>41.098804186578192</c:v>
                </c:pt>
                <c:pt idx="501">
                  <c:v>30.689760026795661</c:v>
                </c:pt>
                <c:pt idx="502">
                  <c:v>20.273759653647403</c:v>
                </c:pt>
                <c:pt idx="503">
                  <c:v>9.8510154075888465</c:v>
                </c:pt>
                <c:pt idx="504">
                  <c:v>-0.57826353730539637</c:v>
                </c:pt>
                <c:pt idx="505">
                  <c:v>-0.58869603481298183</c:v>
                </c:pt>
                <c:pt idx="506">
                  <c:v>-0.59912853854687931</c:v>
                </c:pt>
                <c:pt idx="507">
                  <c:v>-0.60956104850688764</c:v>
                </c:pt>
                <c:pt idx="508">
                  <c:v>-0.61999356469280564</c:v>
                </c:pt>
                <c:pt idx="509">
                  <c:v>-0.63042608710443215</c:v>
                </c:pt>
                <c:pt idx="510">
                  <c:v>-0.640858615741566</c:v>
                </c:pt>
                <c:pt idx="511">
                  <c:v>-0.65129115060400611</c:v>
                </c:pt>
                <c:pt idx="512">
                  <c:v>-0.66172369169155121</c:v>
                </c:pt>
                <c:pt idx="513">
                  <c:v>-0.67215623900400023</c:v>
                </c:pt>
                <c:pt idx="514">
                  <c:v>-0.68258879254115201</c:v>
                </c:pt>
                <c:pt idx="515">
                  <c:v>-0.69302135230280548</c:v>
                </c:pt>
                <c:pt idx="516">
                  <c:v>-0.70345391828875936</c:v>
                </c:pt>
                <c:pt idx="517">
                  <c:v>-0.71388649049881259</c:v>
                </c:pt>
                <c:pt idx="518">
                  <c:v>-0.7243190689327641</c:v>
                </c:pt>
                <c:pt idx="519">
                  <c:v>-0.73475165359041261</c:v>
                </c:pt>
                <c:pt idx="520">
                  <c:v>-0.74518424447155707</c:v>
                </c:pt>
                <c:pt idx="521">
                  <c:v>-0.7556168415759964</c:v>
                </c:pt>
                <c:pt idx="522">
                  <c:v>-0.76604944490352944</c:v>
                </c:pt>
                <c:pt idx="523">
                  <c:v>-0.77648205445395502</c:v>
                </c:pt>
                <c:pt idx="524">
                  <c:v>-0.78691467022707207</c:v>
                </c:pt>
                <c:pt idx="525">
                  <c:v>-0.79734729222267953</c:v>
                </c:pt>
                <c:pt idx="526">
                  <c:v>-0.80777992044057623</c:v>
                </c:pt>
                <c:pt idx="527">
                  <c:v>-0.81821255488056099</c:v>
                </c:pt>
                <c:pt idx="528">
                  <c:v>-0.82864519554243277</c:v>
                </c:pt>
                <c:pt idx="529">
                  <c:v>-0.83907784242599048</c:v>
                </c:pt>
                <c:pt idx="530">
                  <c:v>-0.84951049553103308</c:v>
                </c:pt>
                <c:pt idx="531">
                  <c:v>-0.85994315485735939</c:v>
                </c:pt>
                <c:pt idx="532">
                  <c:v>-0.87037582040476835</c:v>
                </c:pt>
                <c:pt idx="533">
                  <c:v>-0.8808084921730589</c:v>
                </c:pt>
                <c:pt idx="534">
                  <c:v>-0.89124117016202986</c:v>
                </c:pt>
                <c:pt idx="535">
                  <c:v>-0.90167385437148018</c:v>
                </c:pt>
                <c:pt idx="536">
                  <c:v>-0.91210654480120879</c:v>
                </c:pt>
                <c:pt idx="537">
                  <c:v>-0.92253924145101462</c:v>
                </c:pt>
                <c:pt idx="538">
                  <c:v>-0.93297194432069663</c:v>
                </c:pt>
                <c:pt idx="539">
                  <c:v>-0.94340465341005375</c:v>
                </c:pt>
                <c:pt idx="540">
                  <c:v>-0.95383736871888491</c:v>
                </c:pt>
                <c:pt idx="541">
                  <c:v>-0.96427009024698895</c:v>
                </c:pt>
                <c:pt idx="542">
                  <c:v>-0.97470281799416492</c:v>
                </c:pt>
                <c:pt idx="543">
                  <c:v>-0.98513555196021174</c:v>
                </c:pt>
                <c:pt idx="544">
                  <c:v>-0.99556829214492826</c:v>
                </c:pt>
                <c:pt idx="545">
                  <c:v>-1.0060010385481135</c:v>
                </c:pt>
                <c:pt idx="546">
                  <c:v>-1.0164337911695664</c:v>
                </c:pt>
                <c:pt idx="547">
                  <c:v>-1.0268665500090861</c:v>
                </c:pt>
                <c:pt idx="548">
                  <c:v>-1.0372993150664713</c:v>
                </c:pt>
                <c:pt idx="549">
                  <c:v>-1.0477320863415209</c:v>
                </c:pt>
                <c:pt idx="550">
                  <c:v>-1.0581648638340342</c:v>
                </c:pt>
                <c:pt idx="551">
                  <c:v>-1.0685976475438099</c:v>
                </c:pt>
                <c:pt idx="552">
                  <c:v>-1.079030437470647</c:v>
                </c:pt>
                <c:pt idx="553">
                  <c:v>-1.0894632336143444</c:v>
                </c:pt>
                <c:pt idx="554">
                  <c:v>-1.0998960359747012</c:v>
                </c:pt>
                <c:pt idx="555">
                  <c:v>-1.1103288445515165</c:v>
                </c:pt>
                <c:pt idx="556">
                  <c:v>-1.120761659344589</c:v>
                </c:pt>
                <c:pt idx="557">
                  <c:v>-1.1311944803537179</c:v>
                </c:pt>
                <c:pt idx="558">
                  <c:v>-1.1416273075787022</c:v>
                </c:pt>
                <c:pt idx="559">
                  <c:v>-1.1520601410193407</c:v>
                </c:pt>
                <c:pt idx="560">
                  <c:v>-1.1624929806754325</c:v>
                </c:pt>
                <c:pt idx="561">
                  <c:v>-1.1729258265467766</c:v>
                </c:pt>
                <c:pt idx="562">
                  <c:v>-1.183358678633172</c:v>
                </c:pt>
                <c:pt idx="563">
                  <c:v>-1.1937915369344176</c:v>
                </c:pt>
                <c:pt idx="564">
                  <c:v>-1.2042244014503125</c:v>
                </c:pt>
                <c:pt idx="565">
                  <c:v>-1.2146572721806557</c:v>
                </c:pt>
                <c:pt idx="566">
                  <c:v>-1.2250901491252462</c:v>
                </c:pt>
                <c:pt idx="567">
                  <c:v>-1.235523032283883</c:v>
                </c:pt>
                <c:pt idx="568">
                  <c:v>-1.2459559216563652</c:v>
                </c:pt>
                <c:pt idx="569">
                  <c:v>-1.2563888172424917</c:v>
                </c:pt>
                <c:pt idx="570">
                  <c:v>-1.2668217190420616</c:v>
                </c:pt>
                <c:pt idx="571">
                  <c:v>-1.2772546270548739</c:v>
                </c:pt>
                <c:pt idx="572">
                  <c:v>-1.2876875412807276</c:v>
                </c:pt>
                <c:pt idx="573">
                  <c:v>-1.298120461719422</c:v>
                </c:pt>
                <c:pt idx="574">
                  <c:v>-1.3085533883707556</c:v>
                </c:pt>
                <c:pt idx="575">
                  <c:v>-1.3189863212345279</c:v>
                </c:pt>
                <c:pt idx="576">
                  <c:v>-1.3294192603105377</c:v>
                </c:pt>
                <c:pt idx="577">
                  <c:v>-1.3398522055985842</c:v>
                </c:pt>
                <c:pt idx="578">
                  <c:v>-1.3502851570984664</c:v>
                </c:pt>
                <c:pt idx="579">
                  <c:v>-1.3607181148099834</c:v>
                </c:pt>
                <c:pt idx="580">
                  <c:v>-1.3711510787329342</c:v>
                </c:pt>
                <c:pt idx="581">
                  <c:v>-1.3815840488671176</c:v>
                </c:pt>
                <c:pt idx="582">
                  <c:v>-1.3920170252123329</c:v>
                </c:pt>
                <c:pt idx="583">
                  <c:v>-1.4024500077683792</c:v>
                </c:pt>
                <c:pt idx="584">
                  <c:v>-1.4128829965350556</c:v>
                </c:pt>
                <c:pt idx="585">
                  <c:v>-1.4233159915121609</c:v>
                </c:pt>
                <c:pt idx="586">
                  <c:v>-1.4337489926994946</c:v>
                </c:pt>
                <c:pt idx="587">
                  <c:v>-1.4441820000968555</c:v>
                </c:pt>
                <c:pt idx="588">
                  <c:v>-1.4546150137040426</c:v>
                </c:pt>
                <c:pt idx="589">
                  <c:v>-1.4650480335208551</c:v>
                </c:pt>
                <c:pt idx="590">
                  <c:v>-1.4754810595470922</c:v>
                </c:pt>
                <c:pt idx="591">
                  <c:v>-1.4859140917825528</c:v>
                </c:pt>
                <c:pt idx="592">
                  <c:v>-1.4963471302270361</c:v>
                </c:pt>
                <c:pt idx="593">
                  <c:v>-1.5067801748803411</c:v>
                </c:pt>
                <c:pt idx="594">
                  <c:v>-1.517213225742267</c:v>
                </c:pt>
                <c:pt idx="595">
                  <c:v>-1.5276462828126127</c:v>
                </c:pt>
                <c:pt idx="596">
                  <c:v>-1.5380793460911775</c:v>
                </c:pt>
                <c:pt idx="597">
                  <c:v>-1.5485124155777603</c:v>
                </c:pt>
                <c:pt idx="598">
                  <c:v>-1.5589454912721605</c:v>
                </c:pt>
                <c:pt idx="599">
                  <c:v>-1.5693785731741772</c:v>
                </c:pt>
                <c:pt idx="600">
                  <c:v>-1.5798116612836093</c:v>
                </c:pt>
                <c:pt idx="601">
                  <c:v>-1.5902447556002559</c:v>
                </c:pt>
                <c:pt idx="602">
                  <c:v>-1.6006778561239163</c:v>
                </c:pt>
                <c:pt idx="603">
                  <c:v>-1.6111109628543894</c:v>
                </c:pt>
                <c:pt idx="604">
                  <c:v>-1.6215440757914745</c:v>
                </c:pt>
                <c:pt idx="605">
                  <c:v>-1.6319771949349706</c:v>
                </c:pt>
                <c:pt idx="606">
                  <c:v>-1.6424103202846769</c:v>
                </c:pt>
                <c:pt idx="607">
                  <c:v>-1.6528434518403927</c:v>
                </c:pt>
                <c:pt idx="608">
                  <c:v>-1.663276589601917</c:v>
                </c:pt>
                <c:pt idx="609">
                  <c:v>-1.673709733569049</c:v>
                </c:pt>
                <c:pt idx="610">
                  <c:v>-1.6841428837415877</c:v>
                </c:pt>
                <c:pt idx="611">
                  <c:v>-1.6945760401193324</c:v>
                </c:pt>
                <c:pt idx="612">
                  <c:v>-1.705009202702082</c:v>
                </c:pt>
                <c:pt idx="613">
                  <c:v>-1.7154423714896359</c:v>
                </c:pt>
                <c:pt idx="614">
                  <c:v>-1.7258755464817932</c:v>
                </c:pt>
                <c:pt idx="615">
                  <c:v>-1.7363087276783531</c:v>
                </c:pt>
                <c:pt idx="616">
                  <c:v>-1.7467419150791146</c:v>
                </c:pt>
                <c:pt idx="617">
                  <c:v>-1.7571751086838769</c:v>
                </c:pt>
                <c:pt idx="618">
                  <c:v>-1.7676083084924394</c:v>
                </c:pt>
                <c:pt idx="619">
                  <c:v>-1.7780415145046011</c:v>
                </c:pt>
                <c:pt idx="620">
                  <c:v>-1.7884747267201611</c:v>
                </c:pt>
                <c:pt idx="621">
                  <c:v>-1.7989079451389185</c:v>
                </c:pt>
                <c:pt idx="622">
                  <c:v>-1.8093411697606727</c:v>
                </c:pt>
                <c:pt idx="623">
                  <c:v>-1.819774400585223</c:v>
                </c:pt>
                <c:pt idx="624">
                  <c:v>-1.8302076376123684</c:v>
                </c:pt>
                <c:pt idx="625">
                  <c:v>-1.8406408808419079</c:v>
                </c:pt>
                <c:pt idx="626">
                  <c:v>-1.8510741302736411</c:v>
                </c:pt>
                <c:pt idx="627">
                  <c:v>-1.8615073859073668</c:v>
                </c:pt>
                <c:pt idx="628">
                  <c:v>-1.8719406477428844</c:v>
                </c:pt>
                <c:pt idx="629">
                  <c:v>-1.882373915779993</c:v>
                </c:pt>
                <c:pt idx="630">
                  <c:v>-1.892807190018492</c:v>
                </c:pt>
                <c:pt idx="631">
                  <c:v>-1.9032404704581805</c:v>
                </c:pt>
                <c:pt idx="632">
                  <c:v>-1.9136737570988576</c:v>
                </c:pt>
                <c:pt idx="633">
                  <c:v>-1.9241070499403228</c:v>
                </c:pt>
                <c:pt idx="634">
                  <c:v>-1.9345403489823749</c:v>
                </c:pt>
                <c:pt idx="635">
                  <c:v>-1.9449736542248135</c:v>
                </c:pt>
                <c:pt idx="636">
                  <c:v>-1.9554069656674378</c:v>
                </c:pt>
                <c:pt idx="637">
                  <c:v>-1.9658402833100468</c:v>
                </c:pt>
                <c:pt idx="638">
                  <c:v>-1.9762736071524398</c:v>
                </c:pt>
                <c:pt idx="639">
                  <c:v>-1.9867069371944162</c:v>
                </c:pt>
                <c:pt idx="640">
                  <c:v>-1.9971402734357748</c:v>
                </c:pt>
                <c:pt idx="641">
                  <c:v>-2.0075736158763151</c:v>
                </c:pt>
                <c:pt idx="642">
                  <c:v>-2.0180069645158367</c:v>
                </c:pt>
                <c:pt idx="643">
                  <c:v>-2.0284403193541385</c:v>
                </c:pt>
                <c:pt idx="644">
                  <c:v>-2.0388736803910197</c:v>
                </c:pt>
                <c:pt idx="645">
                  <c:v>-2.0493070476262796</c:v>
                </c:pt>
                <c:pt idx="646">
                  <c:v>-2.0597404210597174</c:v>
                </c:pt>
                <c:pt idx="647">
                  <c:v>-2.0701738006911325</c:v>
                </c:pt>
                <c:pt idx="648">
                  <c:v>-2.0806071865203242</c:v>
                </c:pt>
                <c:pt idx="649">
                  <c:v>-2.0910405785470916</c:v>
                </c:pt>
                <c:pt idx="650">
                  <c:v>-2.101473976771234</c:v>
                </c:pt>
                <c:pt idx="651">
                  <c:v>-2.1119073811925504</c:v>
                </c:pt>
                <c:pt idx="652">
                  <c:v>-2.1223407918108403</c:v>
                </c:pt>
                <c:pt idx="653">
                  <c:v>-2.1327742086259032</c:v>
                </c:pt>
                <c:pt idx="654">
                  <c:v>-2.1432076316375381</c:v>
                </c:pt>
                <c:pt idx="655">
                  <c:v>-2.1536410608455445</c:v>
                </c:pt>
                <c:pt idx="656">
                  <c:v>-2.1640744962497216</c:v>
                </c:pt>
                <c:pt idx="657">
                  <c:v>-2.1745079378498686</c:v>
                </c:pt>
                <c:pt idx="658">
                  <c:v>-2.1849413856457849</c:v>
                </c:pt>
                <c:pt idx="659">
                  <c:v>-2.1953748396372696</c:v>
                </c:pt>
                <c:pt idx="660">
                  <c:v>-2.2058082998241222</c:v>
                </c:pt>
                <c:pt idx="661">
                  <c:v>-2.2162417662061418</c:v>
                </c:pt>
                <c:pt idx="662">
                  <c:v>-2.2266752387831277</c:v>
                </c:pt>
                <c:pt idx="663">
                  <c:v>-2.2371087175548796</c:v>
                </c:pt>
                <c:pt idx="664">
                  <c:v>-2.2475422025211964</c:v>
                </c:pt>
                <c:pt idx="665">
                  <c:v>-2.2579756936818778</c:v>
                </c:pt>
                <c:pt idx="666">
                  <c:v>-2.2684091910367226</c:v>
                </c:pt>
                <c:pt idx="667">
                  <c:v>-2.2788426945855305</c:v>
                </c:pt>
                <c:pt idx="668">
                  <c:v>-2.2892762043281003</c:v>
                </c:pt>
                <c:pt idx="669">
                  <c:v>-2.2997097202642318</c:v>
                </c:pt>
                <c:pt idx="670">
                  <c:v>-2.3101432423937243</c:v>
                </c:pt>
                <c:pt idx="671">
                  <c:v>-2.3205767707163769</c:v>
                </c:pt>
                <c:pt idx="672">
                  <c:v>-2.3310103052319895</c:v>
                </c:pt>
                <c:pt idx="673">
                  <c:v>-2.3414438459403608</c:v>
                </c:pt>
                <c:pt idx="674">
                  <c:v>-2.3518773928412906</c:v>
                </c:pt>
                <c:pt idx="675">
                  <c:v>-2.3623109459345777</c:v>
                </c:pt>
                <c:pt idx="676">
                  <c:v>-2.3727445052200218</c:v>
                </c:pt>
                <c:pt idx="677">
                  <c:v>-2.3831780706974222</c:v>
                </c:pt>
                <c:pt idx="678">
                  <c:v>-2.3936116423665781</c:v>
                </c:pt>
                <c:pt idx="679">
                  <c:v>-2.4040452202272893</c:v>
                </c:pt>
                <c:pt idx="680">
                  <c:v>-2.4144788042793546</c:v>
                </c:pt>
                <c:pt idx="681">
                  <c:v>-2.4249123945225737</c:v>
                </c:pt>
                <c:pt idx="682">
                  <c:v>-2.4353459909567459</c:v>
                </c:pt>
                <c:pt idx="683">
                  <c:v>-2.4457795935816704</c:v>
                </c:pt>
                <c:pt idx="684">
                  <c:v>-2.456213202397147</c:v>
                </c:pt>
                <c:pt idx="685">
                  <c:v>-2.4666468174029745</c:v>
                </c:pt>
                <c:pt idx="686">
                  <c:v>-2.4770804385989527</c:v>
                </c:pt>
                <c:pt idx="687">
                  <c:v>-2.4875140659848807</c:v>
                </c:pt>
                <c:pt idx="688">
                  <c:v>-2.4979476995605583</c:v>
                </c:pt>
                <c:pt idx="689">
                  <c:v>-2.5083813393257843</c:v>
                </c:pt>
                <c:pt idx="690">
                  <c:v>-2.5188149852803585</c:v>
                </c:pt>
                <c:pt idx="691">
                  <c:v>-2.5292486374240801</c:v>
                </c:pt>
                <c:pt idx="692">
                  <c:v>-2.5396822957567489</c:v>
                </c:pt>
                <c:pt idx="693">
                  <c:v>-2.5501159602781636</c:v>
                </c:pt>
                <c:pt idx="694">
                  <c:v>-2.5605496309881239</c:v>
                </c:pt>
                <c:pt idx="695">
                  <c:v>-2.5709833078864293</c:v>
                </c:pt>
                <c:pt idx="696">
                  <c:v>-2.5814169909728792</c:v>
                </c:pt>
                <c:pt idx="697">
                  <c:v>-2.5918506802472732</c:v>
                </c:pt>
                <c:pt idx="698">
                  <c:v>-2.6022843757094103</c:v>
                </c:pt>
                <c:pt idx="699">
                  <c:v>-2.6127180773590899</c:v>
                </c:pt>
                <c:pt idx="700">
                  <c:v>-2.6231517851961117</c:v>
                </c:pt>
                <c:pt idx="701">
                  <c:v>-2.633585499220275</c:v>
                </c:pt>
                <c:pt idx="702">
                  <c:v>-2.6440192194313794</c:v>
                </c:pt>
                <c:pt idx="703">
                  <c:v>-2.6544529458292239</c:v>
                </c:pt>
                <c:pt idx="704">
                  <c:v>-2.664886678413608</c:v>
                </c:pt>
                <c:pt idx="705">
                  <c:v>-2.6753204171843317</c:v>
                </c:pt>
                <c:pt idx="706">
                  <c:v>-2.685754162141194</c:v>
                </c:pt>
                <c:pt idx="707">
                  <c:v>-2.6961879132839943</c:v>
                </c:pt>
                <c:pt idx="708">
                  <c:v>-2.7066216706125323</c:v>
                </c:pt>
                <c:pt idx="709">
                  <c:v>-2.7170554341266073</c:v>
                </c:pt>
                <c:pt idx="710">
                  <c:v>-2.7274892038260186</c:v>
                </c:pt>
                <c:pt idx="711">
                  <c:v>-2.7379229797105658</c:v>
                </c:pt>
                <c:pt idx="712">
                  <c:v>-2.7483567617800482</c:v>
                </c:pt>
                <c:pt idx="713">
                  <c:v>-2.7587905500342655</c:v>
                </c:pt>
                <c:pt idx="714">
                  <c:v>-2.7692243444730171</c:v>
                </c:pt>
                <c:pt idx="715">
                  <c:v>-2.7796581450961022</c:v>
                </c:pt>
                <c:pt idx="716">
                  <c:v>-2.7900919519033205</c:v>
                </c:pt>
                <c:pt idx="717">
                  <c:v>-2.8005257648944712</c:v>
                </c:pt>
                <c:pt idx="718">
                  <c:v>-2.8109595840693542</c:v>
                </c:pt>
                <c:pt idx="719">
                  <c:v>-2.8213934094277686</c:v>
                </c:pt>
                <c:pt idx="720">
                  <c:v>-2.8318272409695142</c:v>
                </c:pt>
                <c:pt idx="721">
                  <c:v>-2.8422610786943903</c:v>
                </c:pt>
                <c:pt idx="722">
                  <c:v>-2.8526949226021965</c:v>
                </c:pt>
                <c:pt idx="723">
                  <c:v>-2.8631287726927321</c:v>
                </c:pt>
                <c:pt idx="724">
                  <c:v>-2.873562628965797</c:v>
                </c:pt>
                <c:pt idx="725">
                  <c:v>-2.8839964914211902</c:v>
                </c:pt>
                <c:pt idx="726">
                  <c:v>-2.8944303600587111</c:v>
                </c:pt>
                <c:pt idx="727">
                  <c:v>-2.9048642348781595</c:v>
                </c:pt>
                <c:pt idx="728">
                  <c:v>-2.915298115879335</c:v>
                </c:pt>
                <c:pt idx="729">
                  <c:v>-2.9257320030620368</c:v>
                </c:pt>
                <c:pt idx="730">
                  <c:v>-2.9361658964260648</c:v>
                </c:pt>
                <c:pt idx="731">
                  <c:v>-2.9465997959712182</c:v>
                </c:pt>
                <c:pt idx="732">
                  <c:v>-2.9570337016972967</c:v>
                </c:pt>
                <c:pt idx="733">
                  <c:v>-2.9674676136040996</c:v>
                </c:pt>
                <c:pt idx="734">
                  <c:v>-2.9779015316914266</c:v>
                </c:pt>
                <c:pt idx="735">
                  <c:v>-2.9883354559590769</c:v>
                </c:pt>
                <c:pt idx="736">
                  <c:v>-2.9987693864068503</c:v>
                </c:pt>
                <c:pt idx="737">
                  <c:v>-3.0092033230345465</c:v>
                </c:pt>
                <c:pt idx="738">
                  <c:v>-3.0196372658419648</c:v>
                </c:pt>
                <c:pt idx="739">
                  <c:v>-3.0300712148289048</c:v>
                </c:pt>
                <c:pt idx="740">
                  <c:v>-3.040505169995166</c:v>
                </c:pt>
                <c:pt idx="741">
                  <c:v>-3.0509391313405478</c:v>
                </c:pt>
                <c:pt idx="742">
                  <c:v>-3.0613730988648498</c:v>
                </c:pt>
                <c:pt idx="743">
                  <c:v>-3.0718070725678719</c:v>
                </c:pt>
                <c:pt idx="744">
                  <c:v>-3.082241052449413</c:v>
                </c:pt>
                <c:pt idx="745">
                  <c:v>-3.0926750385092734</c:v>
                </c:pt>
                <c:pt idx="746">
                  <c:v>-3.1031090307472522</c:v>
                </c:pt>
                <c:pt idx="747">
                  <c:v>-3.1135430291631492</c:v>
                </c:pt>
                <c:pt idx="748">
                  <c:v>-3.1239770337567636</c:v>
                </c:pt>
                <c:pt idx="749">
                  <c:v>-3.1344110445278952</c:v>
                </c:pt>
                <c:pt idx="750">
                  <c:v>-3.1448450614763437</c:v>
                </c:pt>
                <c:pt idx="751">
                  <c:v>-3.1552790846019083</c:v>
                </c:pt>
                <c:pt idx="752">
                  <c:v>-3.1657131139043888</c:v>
                </c:pt>
                <c:pt idx="753">
                  <c:v>-3.1761471493835849</c:v>
                </c:pt>
                <c:pt idx="754">
                  <c:v>-3.1865811910392958</c:v>
                </c:pt>
                <c:pt idx="755">
                  <c:v>-3.1970152388713213</c:v>
                </c:pt>
                <c:pt idx="756">
                  <c:v>-3.2074492928794611</c:v>
                </c:pt>
                <c:pt idx="757">
                  <c:v>-3.2178833530635145</c:v>
                </c:pt>
                <c:pt idx="758">
                  <c:v>-3.2283174194232815</c:v>
                </c:pt>
                <c:pt idx="759">
                  <c:v>-3.2387514919585616</c:v>
                </c:pt>
                <c:pt idx="760">
                  <c:v>-3.2491855706691539</c:v>
                </c:pt>
                <c:pt idx="761">
                  <c:v>-3.2596196555548587</c:v>
                </c:pt>
                <c:pt idx="762">
                  <c:v>-3.2700537466154751</c:v>
                </c:pt>
                <c:pt idx="763">
                  <c:v>-3.2804878438508029</c:v>
                </c:pt>
                <c:pt idx="764">
                  <c:v>-3.2909219472606415</c:v>
                </c:pt>
                <c:pt idx="765">
                  <c:v>-3.3013560568447908</c:v>
                </c:pt>
                <c:pt idx="766">
                  <c:v>-3.3117901726030503</c:v>
                </c:pt>
                <c:pt idx="767">
                  <c:v>-3.3222242945352196</c:v>
                </c:pt>
                <c:pt idx="768">
                  <c:v>-3.3326584226410985</c:v>
                </c:pt>
                <c:pt idx="769">
                  <c:v>-3.3430925569204861</c:v>
                </c:pt>
                <c:pt idx="770">
                  <c:v>-3.3535266973731828</c:v>
                </c:pt>
                <c:pt idx="771">
                  <c:v>-3.3639608439989876</c:v>
                </c:pt>
                <c:pt idx="772">
                  <c:v>-3.3743949967977005</c:v>
                </c:pt>
                <c:pt idx="773">
                  <c:v>-3.384829155769121</c:v>
                </c:pt>
                <c:pt idx="774">
                  <c:v>-3.3952633209130485</c:v>
                </c:pt>
                <c:pt idx="775">
                  <c:v>-3.4056974922292831</c:v>
                </c:pt>
                <c:pt idx="776">
                  <c:v>-3.4161316697176241</c:v>
                </c:pt>
                <c:pt idx="777">
                  <c:v>-3.4265658533778711</c:v>
                </c:pt>
                <c:pt idx="778">
                  <c:v>-3.437000043209824</c:v>
                </c:pt>
                <c:pt idx="779">
                  <c:v>-3.4474342392132824</c:v>
                </c:pt>
                <c:pt idx="780">
                  <c:v>-3.4578684413880461</c:v>
                </c:pt>
                <c:pt idx="781">
                  <c:v>-3.4683026497339147</c:v>
                </c:pt>
                <c:pt idx="782">
                  <c:v>-3.4787368642506875</c:v>
                </c:pt>
                <c:pt idx="783">
                  <c:v>-3.4891710849381647</c:v>
                </c:pt>
                <c:pt idx="784">
                  <c:v>-3.4996053117961456</c:v>
                </c:pt>
                <c:pt idx="785">
                  <c:v>-3.5100395448244299</c:v>
                </c:pt>
                <c:pt idx="786">
                  <c:v>-3.5204737840228173</c:v>
                </c:pt>
                <c:pt idx="787">
                  <c:v>-3.5309080293911075</c:v>
                </c:pt>
                <c:pt idx="788">
                  <c:v>-3.5413422809291002</c:v>
                </c:pt>
                <c:pt idx="789">
                  <c:v>-3.5517765386365951</c:v>
                </c:pt>
                <c:pt idx="790">
                  <c:v>-3.5622108025133921</c:v>
                </c:pt>
                <c:pt idx="791">
                  <c:v>-3.5726450725592906</c:v>
                </c:pt>
                <c:pt idx="792">
                  <c:v>-3.5830793487740902</c:v>
                </c:pt>
                <c:pt idx="793">
                  <c:v>-3.5935136311575908</c:v>
                </c:pt>
                <c:pt idx="794">
                  <c:v>-3.6039479197095923</c:v>
                </c:pt>
                <c:pt idx="795">
                  <c:v>-3.6143822144298938</c:v>
                </c:pt>
                <c:pt idx="796">
                  <c:v>-3.6248165153182956</c:v>
                </c:pt>
                <c:pt idx="797">
                  <c:v>-3.635250822374597</c:v>
                </c:pt>
                <c:pt idx="798">
                  <c:v>-3.645685135598598</c:v>
                </c:pt>
                <c:pt idx="799">
                  <c:v>-3.6561194549900984</c:v>
                </c:pt>
                <c:pt idx="800">
                  <c:v>-3.6665537805488975</c:v>
                </c:pt>
                <c:pt idx="801">
                  <c:v>-3.6769881122747954</c:v>
                </c:pt>
                <c:pt idx="802">
                  <c:v>-3.6874224501675914</c:v>
                </c:pt>
                <c:pt idx="803">
                  <c:v>-3.6978567942270857</c:v>
                </c:pt>
                <c:pt idx="804">
                  <c:v>-3.7082911444530775</c:v>
                </c:pt>
                <c:pt idx="805">
                  <c:v>-3.718725500845367</c:v>
                </c:pt>
                <c:pt idx="806">
                  <c:v>-3.7291598634037539</c:v>
                </c:pt>
                <c:pt idx="807">
                  <c:v>-3.739594232128038</c:v>
                </c:pt>
                <c:pt idx="808">
                  <c:v>-3.7500286070180184</c:v>
                </c:pt>
                <c:pt idx="809">
                  <c:v>-3.7604629880734954</c:v>
                </c:pt>
                <c:pt idx="810">
                  <c:v>-3.7708973752942687</c:v>
                </c:pt>
                <c:pt idx="811">
                  <c:v>-3.781331768680138</c:v>
                </c:pt>
                <c:pt idx="812">
                  <c:v>-3.7917661682309034</c:v>
                </c:pt>
                <c:pt idx="813">
                  <c:v>-3.8022005739463642</c:v>
                </c:pt>
                <c:pt idx="814">
                  <c:v>-3.8126349858263202</c:v>
                </c:pt>
                <c:pt idx="815">
                  <c:v>-3.823069403870571</c:v>
                </c:pt>
                <c:pt idx="816">
                  <c:v>-3.8335038280789169</c:v>
                </c:pt>
                <c:pt idx="817">
                  <c:v>-3.8439382584511574</c:v>
                </c:pt>
                <c:pt idx="818">
                  <c:v>-3.854372694987092</c:v>
                </c:pt>
                <c:pt idx="819">
                  <c:v>-3.8648071376865207</c:v>
                </c:pt>
                <c:pt idx="820">
                  <c:v>-3.8752415865492433</c:v>
                </c:pt>
                <c:pt idx="821">
                  <c:v>-3.88567604157506</c:v>
                </c:pt>
                <c:pt idx="822">
                  <c:v>-3.8961105027637699</c:v>
                </c:pt>
                <c:pt idx="823">
                  <c:v>-3.9065449701151733</c:v>
                </c:pt>
                <c:pt idx="824">
                  <c:v>-3.9169794436290695</c:v>
                </c:pt>
                <c:pt idx="825">
                  <c:v>-3.9274139233052585</c:v>
                </c:pt>
                <c:pt idx="826">
                  <c:v>-3.9378484091435402</c:v>
                </c:pt>
                <c:pt idx="827">
                  <c:v>-3.9482829011437142</c:v>
                </c:pt>
                <c:pt idx="828">
                  <c:v>-3.9587173993055806</c:v>
                </c:pt>
                <c:pt idx="829">
                  <c:v>-3.9691519036289389</c:v>
                </c:pt>
                <c:pt idx="830">
                  <c:v>-3.979586414113589</c:v>
                </c:pt>
                <c:pt idx="831">
                  <c:v>-3.9900209307593308</c:v>
                </c:pt>
                <c:pt idx="832">
                  <c:v>-4.000455453565964</c:v>
                </c:pt>
                <c:pt idx="833">
                  <c:v>-4.0108899825332891</c:v>
                </c:pt>
                <c:pt idx="834">
                  <c:v>-4.021324517661105</c:v>
                </c:pt>
                <c:pt idx="835">
                  <c:v>-4.0317590589492118</c:v>
                </c:pt>
                <c:pt idx="836">
                  <c:v>-4.0421936063974098</c:v>
                </c:pt>
                <c:pt idx="837">
                  <c:v>-4.0526281600054981</c:v>
                </c:pt>
                <c:pt idx="838">
                  <c:v>-4.0630627197732769</c:v>
                </c:pt>
                <c:pt idx="839">
                  <c:v>-4.0734972857005456</c:v>
                </c:pt>
                <c:pt idx="840">
                  <c:v>-4.0839318577871042</c:v>
                </c:pt>
                <c:pt idx="841">
                  <c:v>-4.094366436032753</c:v>
                </c:pt>
                <c:pt idx="842">
                  <c:v>-4.104801020437292</c:v>
                </c:pt>
                <c:pt idx="843">
                  <c:v>-4.1152356110005206</c:v>
                </c:pt>
                <c:pt idx="844">
                  <c:v>-4.125670207722238</c:v>
                </c:pt>
                <c:pt idx="845">
                  <c:v>-4.1361048106022453</c:v>
                </c:pt>
                <c:pt idx="846">
                  <c:v>-4.1465394196403418</c:v>
                </c:pt>
                <c:pt idx="847">
                  <c:v>-4.1569740348363267</c:v>
                </c:pt>
                <c:pt idx="848">
                  <c:v>-4.167408656190001</c:v>
                </c:pt>
                <c:pt idx="849">
                  <c:v>-4.1778432837011641</c:v>
                </c:pt>
                <c:pt idx="850">
                  <c:v>-4.1882779173696161</c:v>
                </c:pt>
                <c:pt idx="851">
                  <c:v>-4.1987125571951562</c:v>
                </c:pt>
                <c:pt idx="852">
                  <c:v>-4.2091472031775847</c:v>
                </c:pt>
                <c:pt idx="853">
                  <c:v>-4.2195818553167017</c:v>
                </c:pt>
                <c:pt idx="854">
                  <c:v>-4.2300165136123065</c:v>
                </c:pt>
                <c:pt idx="855">
                  <c:v>-4.2404511780641991</c:v>
                </c:pt>
                <c:pt idx="856">
                  <c:v>-4.2508858486721799</c:v>
                </c:pt>
                <c:pt idx="857">
                  <c:v>-4.2613205254360489</c:v>
                </c:pt>
                <c:pt idx="858">
                  <c:v>-4.2717552083556054</c:v>
                </c:pt>
                <c:pt idx="859">
                  <c:v>-4.2821898974306496</c:v>
                </c:pt>
                <c:pt idx="860">
                  <c:v>-4.2926245926609807</c:v>
                </c:pt>
                <c:pt idx="861">
                  <c:v>-4.3030592940463999</c:v>
                </c:pt>
                <c:pt idx="862">
                  <c:v>-4.3134940015867063</c:v>
                </c:pt>
                <c:pt idx="863">
                  <c:v>-4.3239287152817001</c:v>
                </c:pt>
                <c:pt idx="864">
                  <c:v>-4.3343634351311806</c:v>
                </c:pt>
                <c:pt idx="865">
                  <c:v>-4.344798161134948</c:v>
                </c:pt>
                <c:pt idx="866">
                  <c:v>-4.3552328932928024</c:v>
                </c:pt>
                <c:pt idx="867">
                  <c:v>-4.365667631604544</c:v>
                </c:pt>
                <c:pt idx="868">
                  <c:v>-4.376102376069972</c:v>
                </c:pt>
                <c:pt idx="869">
                  <c:v>-4.3865371266888866</c:v>
                </c:pt>
                <c:pt idx="870">
                  <c:v>-4.396971883461088</c:v>
                </c:pt>
                <c:pt idx="871">
                  <c:v>-4.4074066463863764</c:v>
                </c:pt>
                <c:pt idx="872">
                  <c:v>-4.4178414154645509</c:v>
                </c:pt>
                <c:pt idx="873">
                  <c:v>-4.4282761906954118</c:v>
                </c:pt>
                <c:pt idx="874">
                  <c:v>-4.4387109720787592</c:v>
                </c:pt>
                <c:pt idx="875">
                  <c:v>-4.4491457596143933</c:v>
                </c:pt>
                <c:pt idx="876">
                  <c:v>-4.4595805533021133</c:v>
                </c:pt>
                <c:pt idx="877">
                  <c:v>-4.4700153531417195</c:v>
                </c:pt>
                <c:pt idx="878">
                  <c:v>-4.4804501591330119</c:v>
                </c:pt>
                <c:pt idx="879">
                  <c:v>-4.4908849712757908</c:v>
                </c:pt>
                <c:pt idx="880">
                  <c:v>-4.5013197895698553</c:v>
                </c:pt>
                <c:pt idx="881">
                  <c:v>-4.5117546140150058</c:v>
                </c:pt>
                <c:pt idx="882">
                  <c:v>-4.5221894446110422</c:v>
                </c:pt>
                <c:pt idx="883">
                  <c:v>-4.5326242813577649</c:v>
                </c:pt>
                <c:pt idx="884">
                  <c:v>-4.5430591242549738</c:v>
                </c:pt>
                <c:pt idx="885">
                  <c:v>-4.5534939733024684</c:v>
                </c:pt>
                <c:pt idx="886">
                  <c:v>-4.5639288285000488</c:v>
                </c:pt>
                <c:pt idx="887">
                  <c:v>-4.5743636898475151</c:v>
                </c:pt>
                <c:pt idx="888">
                  <c:v>-4.5847985573446675</c:v>
                </c:pt>
                <c:pt idx="889">
                  <c:v>-4.5952334309913061</c:v>
                </c:pt>
                <c:pt idx="890">
                  <c:v>-4.6056683107872303</c:v>
                </c:pt>
                <c:pt idx="891">
                  <c:v>-4.6161031967322401</c:v>
                </c:pt>
                <c:pt idx="892">
                  <c:v>-4.6265380888261358</c:v>
                </c:pt>
                <c:pt idx="893">
                  <c:v>-4.6369729870687175</c:v>
                </c:pt>
                <c:pt idx="894">
                  <c:v>-4.6474078914597854</c:v>
                </c:pt>
                <c:pt idx="895">
                  <c:v>-4.6578428019991387</c:v>
                </c:pt>
                <c:pt idx="896">
                  <c:v>-4.6682777186865776</c:v>
                </c:pt>
                <c:pt idx="897">
                  <c:v>-4.6787126415219022</c:v>
                </c:pt>
                <c:pt idx="898">
                  <c:v>-4.6891475705049128</c:v>
                </c:pt>
                <c:pt idx="899">
                  <c:v>-4.6995825056354095</c:v>
                </c:pt>
                <c:pt idx="900">
                  <c:v>-4.7100174469131924</c:v>
                </c:pt>
                <c:pt idx="901">
                  <c:v>-4.7204523943380607</c:v>
                </c:pt>
                <c:pt idx="902">
                  <c:v>-4.7308873479098157</c:v>
                </c:pt>
                <c:pt idx="903">
                  <c:v>-4.7413223076282565</c:v>
                </c:pt>
                <c:pt idx="904">
                  <c:v>-4.7517572734931832</c:v>
                </c:pt>
                <c:pt idx="905">
                  <c:v>-4.7621922455043961</c:v>
                </c:pt>
                <c:pt idx="906">
                  <c:v>-4.7726272236616953</c:v>
                </c:pt>
                <c:pt idx="907">
                  <c:v>-4.7830622079648801</c:v>
                </c:pt>
                <c:pt idx="908">
                  <c:v>-4.7934971984137515</c:v>
                </c:pt>
                <c:pt idx="909">
                  <c:v>-4.8039321950081089</c:v>
                </c:pt>
                <c:pt idx="910">
                  <c:v>-4.8143671977477522</c:v>
                </c:pt>
                <c:pt idx="911">
                  <c:v>-4.8248022066324818</c:v>
                </c:pt>
                <c:pt idx="912">
                  <c:v>-4.8352372216620978</c:v>
                </c:pt>
                <c:pt idx="913">
                  <c:v>-4.8456722428364003</c:v>
                </c:pt>
                <c:pt idx="914">
                  <c:v>-4.8561072701551895</c:v>
                </c:pt>
                <c:pt idx="915">
                  <c:v>-4.8665423036182656</c:v>
                </c:pt>
                <c:pt idx="916">
                  <c:v>-4.8769773432254278</c:v>
                </c:pt>
                <c:pt idx="917">
                  <c:v>-4.8874123889764771</c:v>
                </c:pt>
                <c:pt idx="918">
                  <c:v>-4.8978474408712129</c:v>
                </c:pt>
                <c:pt idx="919">
                  <c:v>-4.9082824989094354</c:v>
                </c:pt>
                <c:pt idx="920">
                  <c:v>-4.9187175630909445</c:v>
                </c:pt>
                <c:pt idx="921">
                  <c:v>-4.9291526334155416</c:v>
                </c:pt>
                <c:pt idx="922">
                  <c:v>-4.9395877098830256</c:v>
                </c:pt>
                <c:pt idx="923">
                  <c:v>-4.950022792493197</c:v>
                </c:pt>
                <c:pt idx="924">
                  <c:v>-4.9604578812458548</c:v>
                </c:pt>
                <c:pt idx="925">
                  <c:v>-4.9708929761408003</c:v>
                </c:pt>
                <c:pt idx="926">
                  <c:v>-4.9813280771778334</c:v>
                </c:pt>
                <c:pt idx="927">
                  <c:v>-4.9917631843567536</c:v>
                </c:pt>
                <c:pt idx="928">
                  <c:v>-5.0021982976773618</c:v>
                </c:pt>
                <c:pt idx="929">
                  <c:v>-5.0126334171394582</c:v>
                </c:pt>
                <c:pt idx="930">
                  <c:v>-5.0230685427428421</c:v>
                </c:pt>
                <c:pt idx="931">
                  <c:v>-5.0335036744873136</c:v>
                </c:pt>
                <c:pt idx="932">
                  <c:v>-5.0439388123726738</c:v>
                </c:pt>
                <c:pt idx="933">
                  <c:v>-5.054373956398722</c:v>
                </c:pt>
                <c:pt idx="934">
                  <c:v>-5.0648091065652583</c:v>
                </c:pt>
                <c:pt idx="935">
                  <c:v>-5.0752442628720837</c:v>
                </c:pt>
                <c:pt idx="936">
                  <c:v>-5.0856794253189976</c:v>
                </c:pt>
                <c:pt idx="937">
                  <c:v>-5.0961145939058001</c:v>
                </c:pt>
                <c:pt idx="938">
                  <c:v>-5.1065497686322914</c:v>
                </c:pt>
                <c:pt idx="939">
                  <c:v>-5.1169849494982715</c:v>
                </c:pt>
                <c:pt idx="940">
                  <c:v>-5.1274201365035408</c:v>
                </c:pt>
                <c:pt idx="941">
                  <c:v>-5.1378553296478993</c:v>
                </c:pt>
                <c:pt idx="942">
                  <c:v>-5.1482905289311471</c:v>
                </c:pt>
                <c:pt idx="943">
                  <c:v>-5.1587257343530846</c:v>
                </c:pt>
                <c:pt idx="944">
                  <c:v>-5.1691609459135117</c:v>
                </c:pt>
                <c:pt idx="945">
                  <c:v>-5.1795961636122287</c:v>
                </c:pt>
                <c:pt idx="946">
                  <c:v>-5.1900313874490358</c:v>
                </c:pt>
                <c:pt idx="947">
                  <c:v>-5.2004666174237331</c:v>
                </c:pt>
                <c:pt idx="948">
                  <c:v>-5.2109018535361207</c:v>
                </c:pt>
                <c:pt idx="949">
                  <c:v>-5.2213370957859997</c:v>
                </c:pt>
                <c:pt idx="950">
                  <c:v>-5.2317723441731694</c:v>
                </c:pt>
                <c:pt idx="951">
                  <c:v>-5.2422075986974299</c:v>
                </c:pt>
                <c:pt idx="952">
                  <c:v>-5.2526428593585814</c:v>
                </c:pt>
                <c:pt idx="953">
                  <c:v>-5.2630781261564241</c:v>
                </c:pt>
                <c:pt idx="954">
                  <c:v>-5.2735133990907581</c:v>
                </c:pt>
                <c:pt idx="955">
                  <c:v>-5.2839486781613836</c:v>
                </c:pt>
                <c:pt idx="956">
                  <c:v>-5.2943839633681007</c:v>
                </c:pt>
                <c:pt idx="957">
                  <c:v>-5.3048192547107096</c:v>
                </c:pt>
                <c:pt idx="958">
                  <c:v>-5.3152545521890113</c:v>
                </c:pt>
                <c:pt idx="959">
                  <c:v>-5.3256898558028052</c:v>
                </c:pt>
                <c:pt idx="960">
                  <c:v>-5.3361251655518913</c:v>
                </c:pt>
                <c:pt idx="961">
                  <c:v>-5.3465604814360708</c:v>
                </c:pt>
                <c:pt idx="962">
                  <c:v>-5.3569958034551428</c:v>
                </c:pt>
                <c:pt idx="963">
                  <c:v>-5.3674311316089085</c:v>
                </c:pt>
                <c:pt idx="964">
                  <c:v>-5.3778664658971671</c:v>
                </c:pt>
                <c:pt idx="965">
                  <c:v>-5.3883018063197197</c:v>
                </c:pt>
                <c:pt idx="966">
                  <c:v>-5.3987371528763655</c:v>
                </c:pt>
                <c:pt idx="967">
                  <c:v>-5.4091725055669055</c:v>
                </c:pt>
                <c:pt idx="968">
                  <c:v>-5.4196078643911401</c:v>
                </c:pt>
                <c:pt idx="969">
                  <c:v>-5.4300432293488692</c:v>
                </c:pt>
                <c:pt idx="970">
                  <c:v>-5.4404786004398931</c:v>
                </c:pt>
                <c:pt idx="971">
                  <c:v>-5.4509139776640119</c:v>
                </c:pt>
                <c:pt idx="972">
                  <c:v>-5.4613493610210258</c:v>
                </c:pt>
                <c:pt idx="973">
                  <c:v>-5.4717847505107349</c:v>
                </c:pt>
                <c:pt idx="974">
                  <c:v>-5.4822201461329403</c:v>
                </c:pt>
                <c:pt idx="975">
                  <c:v>-5.4926555478874413</c:v>
                </c:pt>
                <c:pt idx="976">
                  <c:v>-5.5030909557740388</c:v>
                </c:pt>
                <c:pt idx="977">
                  <c:v>-5.5135263697925323</c:v>
                </c:pt>
                <c:pt idx="978">
                  <c:v>-5.5239617899427227</c:v>
                </c:pt>
                <c:pt idx="979">
                  <c:v>-5.5343972162244102</c:v>
                </c:pt>
                <c:pt idx="980">
                  <c:v>-5.5448326486373949</c:v>
                </c:pt>
                <c:pt idx="981">
                  <c:v>-5.555268087181477</c:v>
                </c:pt>
                <c:pt idx="982">
                  <c:v>-5.5657035318564567</c:v>
                </c:pt>
                <c:pt idx="983">
                  <c:v>-5.5761389826621341</c:v>
                </c:pt>
                <c:pt idx="984">
                  <c:v>-5.5865744395983103</c:v>
                </c:pt>
                <c:pt idx="985">
                  <c:v>-5.5970099026647846</c:v>
                </c:pt>
                <c:pt idx="986">
                  <c:v>-5.6074453718613579</c:v>
                </c:pt>
                <c:pt idx="987">
                  <c:v>-5.6178808471878305</c:v>
                </c:pt>
                <c:pt idx="988">
                  <c:v>-5.6283163286440026</c:v>
                </c:pt>
                <c:pt idx="989">
                  <c:v>-5.6387518162296741</c:v>
                </c:pt>
                <c:pt idx="990">
                  <c:v>-5.6491873099446455</c:v>
                </c:pt>
                <c:pt idx="991">
                  <c:v>-5.6596228097887176</c:v>
                </c:pt>
                <c:pt idx="992">
                  <c:v>-5.6700583157616897</c:v>
                </c:pt>
                <c:pt idx="993">
                  <c:v>-5.680493827863363</c:v>
                </c:pt>
                <c:pt idx="994">
                  <c:v>-5.6909293460935375</c:v>
                </c:pt>
                <c:pt idx="995">
                  <c:v>-5.7013648704520135</c:v>
                </c:pt>
                <c:pt idx="996">
                  <c:v>-5.711800400938591</c:v>
                </c:pt>
                <c:pt idx="997">
                  <c:v>-5.7222359375530711</c:v>
                </c:pt>
                <c:pt idx="998">
                  <c:v>-5.7326714802952532</c:v>
                </c:pt>
                <c:pt idx="999">
                  <c:v>-5.7431070291649382</c:v>
                </c:pt>
                <c:pt idx="1000">
                  <c:v>-5.7535425841619263</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Calculs!$K$4:$K$1004</c:f>
              <c:numCache>
                <c:formatCode>0.00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1439.2960512198395</c:v>
                </c:pt>
                <c:pt idx="300">
                  <c:v>1439.220172805746</c:v>
                </c:pt>
                <c:pt idx="301">
                  <c:v>1439.0463287411173</c:v>
                </c:pt>
                <c:pt idx="302">
                  <c:v>1438.7746926797149</c:v>
                </c:pt>
                <c:pt idx="303">
                  <c:v>1438.405438861068</c:v>
                </c:pt>
                <c:pt idx="304">
                  <c:v>1437.9387429409912</c:v>
                </c:pt>
                <c:pt idx="305">
                  <c:v>1437.3747827973571</c:v>
                </c:pt>
                <c:pt idx="306">
                  <c:v>1436.7137393054052</c:v>
                </c:pt>
                <c:pt idx="307">
                  <c:v>1435.9557970775634</c:v>
                </c:pt>
                <c:pt idx="308">
                  <c:v>1435.1011451635734</c:v>
                </c:pt>
                <c:pt idx="309">
                  <c:v>1434.1499777075967</c:v>
                </c:pt>
                <c:pt idx="310">
                  <c:v>1433.1024945598904</c:v>
                </c:pt>
                <c:pt idx="311">
                  <c:v>1431.9589018415259</c:v>
                </c:pt>
                <c:pt idx="312">
                  <c:v>1430.7194124614621</c:v>
                </c:pt>
                <c:pt idx="313">
                  <c:v>1429.3842465860262</c:v>
                </c:pt>
                <c:pt idx="314">
                  <c:v>1427.9536320615039</c:v>
                </c:pt>
                <c:pt idx="315">
                  <c:v>1426.4278047910741</c:v>
                </c:pt>
                <c:pt idx="316">
                  <c:v>1424.8070090677443</c:v>
                </c:pt>
                <c:pt idx="317">
                  <c:v>1423.0914978652615</c:v>
                </c:pt>
                <c:pt idx="318">
                  <c:v>1421.2815330891883</c:v>
                </c:pt>
                <c:pt idx="319">
                  <c:v>1419.3773857904673</c:v>
                </c:pt>
                <c:pt idx="320">
                  <c:v>1417.3793363438613</c:v>
                </c:pt>
                <c:pt idx="321">
                  <c:v>1415.2876745936546</c:v>
                </c:pt>
                <c:pt idx="322">
                  <c:v>1413.1026999689614</c:v>
                </c:pt>
                <c:pt idx="323">
                  <c:v>1410.8247215709057</c:v>
                </c:pt>
                <c:pt idx="324">
                  <c:v>1408.45405823384</c:v>
                </c:pt>
                <c:pt idx="325">
                  <c:v>1405.9910385626465</c:v>
                </c:pt>
                <c:pt idx="326">
                  <c:v>1403.436000948042</c:v>
                </c:pt>
                <c:pt idx="327">
                  <c:v>1400.789293561673</c:v>
                </c:pt>
                <c:pt idx="328">
                  <c:v>1398.0512743326606</c:v>
                </c:pt>
                <c:pt idx="329">
                  <c:v>1395.222310907121</c:v>
                </c:pt>
                <c:pt idx="330">
                  <c:v>1392.3027805920738</c:v>
                </c:pt>
                <c:pt idx="331">
                  <c:v>1389.2930702850265</c:v>
                </c:pt>
                <c:pt idx="332">
                  <c:v>1386.1935763904235</c:v>
                </c:pt>
                <c:pt idx="333">
                  <c:v>1383.0047047240421</c:v>
                </c:pt>
                <c:pt idx="334">
                  <c:v>1379.7268704063308</c:v>
                </c:pt>
                <c:pt idx="335">
                  <c:v>1376.3604977455996</c:v>
                </c:pt>
                <c:pt idx="336">
                  <c:v>1372.9060201118973</c:v>
                </c:pt>
                <c:pt idx="337">
                  <c:v>1369.3638798023426</c:v>
                </c:pt>
                <c:pt idx="338">
                  <c:v>1365.7345278986102</c:v>
                </c:pt>
                <c:pt idx="339">
                  <c:v>1362.0184241172233</c:v>
                </c:pt>
                <c:pt idx="340">
                  <c:v>1358.2160366532491</c:v>
                </c:pt>
                <c:pt idx="341">
                  <c:v>1354.3278420179506</c:v>
                </c:pt>
                <c:pt idx="342">
                  <c:v>1350.3543248709061</c:v>
                </c:pt>
                <c:pt idx="343">
                  <c:v>1346.2959778470768</c:v>
                </c:pt>
                <c:pt idx="344">
                  <c:v>1342.1533013792621</c:v>
                </c:pt>
                <c:pt idx="345">
                  <c:v>1337.9268035163607</c:v>
                </c:pt>
                <c:pt idx="346">
                  <c:v>1333.6169997378242</c:v>
                </c:pt>
                <c:pt idx="347">
                  <c:v>1329.2244127646698</c:v>
                </c:pt>
                <c:pt idx="348">
                  <c:v>1324.7495723673933</c:v>
                </c:pt>
                <c:pt idx="349">
                  <c:v>1320.1930151711113</c:v>
                </c:pt>
                <c:pt idx="350">
                  <c:v>1315.5552844582342</c:v>
                </c:pt>
                <c:pt idx="351">
                  <c:v>1310.836929968965</c:v>
                </c:pt>
                <c:pt idx="352">
                  <c:v>1306.0385076998984</c:v>
                </c:pt>
                <c:pt idx="353">
                  <c:v>1301.1605797009843</c:v>
                </c:pt>
                <c:pt idx="354">
                  <c:v>1296.2037138711066</c:v>
                </c:pt>
                <c:pt idx="355">
                  <c:v>1291.1684837525172</c:v>
                </c:pt>
                <c:pt idx="356">
                  <c:v>1286.0554683243527</c:v>
                </c:pt>
                <c:pt idx="357">
                  <c:v>1280.8652517954565</c:v>
                </c:pt>
                <c:pt idx="358">
                  <c:v>1275.5984233967142</c:v>
                </c:pt>
                <c:pt idx="359">
                  <c:v>1270.2555771731047</c:v>
                </c:pt>
                <c:pt idx="360">
                  <c:v>1264.8373117756607</c:v>
                </c:pt>
                <c:pt idx="361">
                  <c:v>1259.3442302535261</c:v>
                </c:pt>
                <c:pt idx="362">
                  <c:v>1253.7769398462867</c:v>
                </c:pt>
                <c:pt idx="363">
                  <c:v>1248.1360517767473</c:v>
                </c:pt>
                <c:pt idx="364">
                  <c:v>1242.422181044321</c:v>
                </c:pt>
                <c:pt idx="365">
                  <c:v>1236.6359462191879</c:v>
                </c:pt>
                <c:pt idx="366">
                  <c:v>1230.7779692373767</c:v>
                </c:pt>
                <c:pt idx="367">
                  <c:v>1224.8488751969155</c:v>
                </c:pt>
                <c:pt idx="368">
                  <c:v>1218.8492921551917</c:v>
                </c:pt>
                <c:pt idx="369">
                  <c:v>1212.7798509276574</c:v>
                </c:pt>
                <c:pt idx="370">
                  <c:v>1206.641184888008</c:v>
                </c:pt>
                <c:pt idx="371">
                  <c:v>1200.4339297699594</c:v>
                </c:pt>
                <c:pt idx="372">
                  <c:v>1194.1587234707411</c:v>
                </c:pt>
                <c:pt idx="373">
                  <c:v>1187.8162058564199</c:v>
                </c:pt>
                <c:pt idx="374">
                  <c:v>1181.4070185691617</c:v>
                </c:pt>
                <c:pt idx="375">
                  <c:v>1174.9318048365344</c:v>
                </c:pt>
                <c:pt idx="376">
                  <c:v>1168.3912092829521</c:v>
                </c:pt>
                <c:pt idx="377">
                  <c:v>1161.7858777433516</c:v>
                </c:pt>
                <c:pt idx="378">
                  <c:v>1155.1164570791914</c:v>
                </c:pt>
                <c:pt idx="379">
                  <c:v>1148.3835949968575</c:v>
                </c:pt>
                <c:pt idx="380">
                  <c:v>1141.5879398685552</c:v>
                </c:pt>
                <c:pt idx="381">
                  <c:v>1134.7301405557605</c:v>
                </c:pt>
                <c:pt idx="382">
                  <c:v>1127.8108462353041</c:v>
                </c:pt>
                <c:pt idx="383">
                  <c:v>1120.830706228151</c:v>
                </c:pt>
                <c:pt idx="384">
                  <c:v>1113.790369830941</c:v>
                </c:pt>
                <c:pt idx="385">
                  <c:v>1106.6904861503438</c:v>
                </c:pt>
                <c:pt idx="386">
                  <c:v>1099.5317039402853</c:v>
                </c:pt>
                <c:pt idx="387">
                  <c:v>1092.314671442092</c:v>
                </c:pt>
                <c:pt idx="388">
                  <c:v>1085.0400362276005</c:v>
                </c:pt>
                <c:pt idx="389">
                  <c:v>1077.7084450452714</c:v>
                </c:pt>
                <c:pt idx="390">
                  <c:v>1070.3205436693479</c:v>
                </c:pt>
                <c:pt idx="391">
                  <c:v>1062.8769767520889</c:v>
                </c:pt>
                <c:pt idx="392">
                  <c:v>1055.3783876791113</c:v>
                </c:pt>
                <c:pt idx="393">
                  <c:v>1047.8254184278633</c:v>
                </c:pt>
                <c:pt idx="394">
                  <c:v>1040.2187094292551</c:v>
                </c:pt>
                <c:pt idx="395">
                  <c:v>1032.5588994324639</c:v>
                </c:pt>
                <c:pt idx="396">
                  <c:v>1024.8466253729314</c:v>
                </c:pt>
                <c:pt idx="397">
                  <c:v>1017.0825222435648</c:v>
                </c:pt>
                <c:pt idx="398">
                  <c:v>1009.2672229691525</c:v>
                </c:pt>
                <c:pt idx="399">
                  <c:v>1001.4013582840001</c:v>
                </c:pt>
                <c:pt idx="400">
                  <c:v>993.48555661279079</c:v>
                </c:pt>
                <c:pt idx="401">
                  <c:v>985.52044395467033</c:v>
                </c:pt>
                <c:pt idx="402">
                  <c:v>977.5066437705558</c:v>
                </c:pt>
                <c:pt idx="403">
                  <c:v>969.44477687366145</c:v>
                </c:pt>
                <c:pt idx="404">
                  <c:v>961.33546132323602</c:v>
                </c:pt>
                <c:pt idx="405">
                  <c:v>953.17931232150011</c:v>
                </c:pt>
                <c:pt idx="406">
                  <c:v>944.97694211377279</c:v>
                </c:pt>
                <c:pt idx="407">
                  <c:v>936.72895989177096</c:v>
                </c:pt>
                <c:pt idx="408">
                  <c:v>928.43597170006603</c:v>
                </c:pt>
                <c:pt idx="409">
                  <c:v>920.0985803456781</c:v>
                </c:pt>
                <c:pt idx="410">
                  <c:v>911.7173853107862</c:v>
                </c:pt>
                <c:pt idx="411">
                  <c:v>903.29298266853209</c:v>
                </c:pt>
                <c:pt idx="412">
                  <c:v>894.82596500189209</c:v>
                </c:pt>
                <c:pt idx="413">
                  <c:v>886.31692132558999</c:v>
                </c:pt>
                <c:pt idx="414">
                  <c:v>877.76643701102307</c:v>
                </c:pt>
                <c:pt idx="415">
                  <c:v>869.17509371417032</c:v>
                </c:pt>
                <c:pt idx="416">
                  <c:v>860.54346930645147</c:v>
                </c:pt>
                <c:pt idx="417">
                  <c:v>851.87213780850357</c:v>
                </c:pt>
                <c:pt idx="418">
                  <c:v>843.16166932684075</c:v>
                </c:pt>
                <c:pt idx="419">
                  <c:v>834.41262999336107</c:v>
                </c:pt>
                <c:pt idx="420">
                  <c:v>825.62558190766333</c:v>
                </c:pt>
                <c:pt idx="421">
                  <c:v>816.80108308213573</c:v>
                </c:pt>
                <c:pt idx="422">
                  <c:v>807.93968738977742</c:v>
                </c:pt>
                <c:pt idx="423">
                  <c:v>799.04194451471199</c:v>
                </c:pt>
                <c:pt idx="424">
                  <c:v>790.10839990535294</c:v>
                </c:pt>
                <c:pt idx="425">
                  <c:v>781.13959473017769</c:v>
                </c:pt>
                <c:pt idx="426">
                  <c:v>772.1360658360685</c:v>
                </c:pt>
                <c:pt idx="427">
                  <c:v>763.09834570917667</c:v>
                </c:pt>
                <c:pt idx="428">
                  <c:v>754.02696243826563</c:v>
                </c:pt>
                <c:pt idx="429">
                  <c:v>744.92243968048888</c:v>
                </c:pt>
                <c:pt idx="430">
                  <c:v>735.78529662955714</c:v>
                </c:pt>
                <c:pt idx="431">
                  <c:v>726.61604798624921</c:v>
                </c:pt>
                <c:pt idx="432">
                  <c:v>717.41520393122141</c:v>
                </c:pt>
                <c:pt idx="433">
                  <c:v>708.18327010006863</c:v>
                </c:pt>
                <c:pt idx="434">
                  <c:v>698.9207475605906</c:v>
                </c:pt>
                <c:pt idx="435">
                  <c:v>689.628132792217</c:v>
                </c:pt>
                <c:pt idx="436">
                  <c:v>680.30591766754446</c:v>
                </c:pt>
                <c:pt idx="437">
                  <c:v>670.95458943593871</c:v>
                </c:pt>
                <c:pt idx="438">
                  <c:v>661.57463070915435</c:v>
                </c:pt>
                <c:pt idx="439">
                  <c:v>652.16651944892635</c:v>
                </c:pt>
                <c:pt idx="440">
                  <c:v>642.73072895648477</c:v>
                </c:pt>
                <c:pt idx="441">
                  <c:v>633.26772786394758</c:v>
                </c:pt>
                <c:pt idx="442">
                  <c:v>623.77798012754374</c:v>
                </c:pt>
                <c:pt idx="443">
                  <c:v>614.26194502262013</c:v>
                </c:pt>
                <c:pt idx="444">
                  <c:v>604.72007714038614</c:v>
                </c:pt>
                <c:pt idx="445">
                  <c:v>595.15282638635051</c:v>
                </c:pt>
                <c:pt idx="446">
                  <c:v>585.5606379804027</c:v>
                </c:pt>
                <c:pt idx="447">
                  <c:v>575.94395245849546</c:v>
                </c:pt>
                <c:pt idx="448">
                  <c:v>566.30320567588183</c:v>
                </c:pt>
                <c:pt idx="449">
                  <c:v>556.63882881186225</c:v>
                </c:pt>
                <c:pt idx="450">
                  <c:v>546.95124837599792</c:v>
                </c:pt>
                <c:pt idx="451">
                  <c:v>537.24088621574526</c:v>
                </c:pt>
                <c:pt idx="452">
                  <c:v>527.50815952546861</c:v>
                </c:pt>
                <c:pt idx="453">
                  <c:v>517.75348085678797</c:v>
                </c:pt>
                <c:pt idx="454">
                  <c:v>507.97725813021935</c:v>
                </c:pt>
                <c:pt idx="455">
                  <c:v>498.17989464806493</c:v>
                </c:pt>
                <c:pt idx="456">
                  <c:v>488.3617891085122</c:v>
                </c:pt>
                <c:pt idx="457">
                  <c:v>478.52333562090058</c:v>
                </c:pt>
                <c:pt idx="458">
                  <c:v>468.66492372211525</c:v>
                </c:pt>
                <c:pt idx="459">
                  <c:v>458.78693839406816</c:v>
                </c:pt>
                <c:pt idx="460">
                  <c:v>448.88976008222699</c:v>
                </c:pt>
                <c:pt idx="461">
                  <c:v>438.97376471515321</c:v>
                </c:pt>
                <c:pt idx="462">
                  <c:v>429.03932372501146</c:v>
                </c:pt>
                <c:pt idx="463">
                  <c:v>419.08680406901209</c:v>
                </c:pt>
                <c:pt idx="464">
                  <c:v>409.11656825175083</c:v>
                </c:pt>
                <c:pt idx="465">
                  <c:v>399.12897434840892</c:v>
                </c:pt>
                <c:pt idx="466">
                  <c:v>389.12437602877787</c:v>
                </c:pt>
                <c:pt idx="467">
                  <c:v>379.10312258207466</c:v>
                </c:pt>
                <c:pt idx="468">
                  <c:v>369.06555894251233</c:v>
                </c:pt>
                <c:pt idx="469">
                  <c:v>359.01202571559298</c:v>
                </c:pt>
                <c:pt idx="470">
                  <c:v>348.9428592050898</c:v>
                </c:pt>
                <c:pt idx="471">
                  <c:v>338.85839144068603</c:v>
                </c:pt>
                <c:pt idx="472">
                  <c:v>328.75895020623932</c:v>
                </c:pt>
                <c:pt idx="473">
                  <c:v>318.64485906864041</c:v>
                </c:pt>
                <c:pt idx="474">
                  <c:v>308.51643740723568</c:v>
                </c:pt>
                <c:pt idx="475">
                  <c:v>298.3740004437845</c:v>
                </c:pt>
                <c:pt idx="476">
                  <c:v>288.21785927292183</c:v>
                </c:pt>
                <c:pt idx="477">
                  <c:v>278.04832089309809</c:v>
                </c:pt>
                <c:pt idx="478">
                  <c:v>267.86568823796875</c:v>
                </c:pt>
                <c:pt idx="479">
                  <c:v>257.6702602082064</c:v>
                </c:pt>
                <c:pt idx="480">
                  <c:v>247.46233170370914</c:v>
                </c:pt>
                <c:pt idx="481">
                  <c:v>237.24219365617978</c:v>
                </c:pt>
                <c:pt idx="482">
                  <c:v>227.01013306205047</c:v>
                </c:pt>
                <c:pt idx="483">
                  <c:v>216.76643301572869</c:v>
                </c:pt>
                <c:pt idx="484">
                  <c:v>206.51137274314075</c:v>
                </c:pt>
                <c:pt idx="485">
                  <c:v>196.24522763554955</c:v>
                </c:pt>
                <c:pt idx="486">
                  <c:v>185.96826928362444</c:v>
                </c:pt>
                <c:pt idx="487">
                  <c:v>175.68076551174082</c:v>
                </c:pt>
                <c:pt idx="488">
                  <c:v>165.38298041248873</c:v>
                </c:pt>
                <c:pt idx="489">
                  <c:v>155.07517438136935</c:v>
                </c:pt>
                <c:pt idx="490">
                  <c:v>144.75760415165956</c:v>
                </c:pt>
                <c:pt idx="491">
                  <c:v>134.43052282942494</c:v>
                </c:pt>
                <c:pt idx="492">
                  <c:v>124.09417992866238</c:v>
                </c:pt>
                <c:pt idx="493">
                  <c:v>113.74882140655403</c:v>
                </c:pt>
                <c:pt idx="494">
                  <c:v>103.39468969881452</c:v>
                </c:pt>
                <c:pt idx="495">
                  <c:v>93.032023755114636</c:v>
                </c:pt>
                <c:pt idx="496">
                  <c:v>82.661059074564406</c:v>
                </c:pt>
                <c:pt idx="497">
                  <c:v>72.282027741239631</c:v>
                </c:pt>
                <c:pt idx="498">
                  <c:v>61.895158459736237</c:v>
                </c:pt>
                <c:pt idx="499">
                  <c:v>51.500676590737307</c:v>
                </c:pt>
                <c:pt idx="500">
                  <c:v>41.098804186578192</c:v>
                </c:pt>
                <c:pt idx="501">
                  <c:v>30.689760026795661</c:v>
                </c:pt>
                <c:pt idx="502">
                  <c:v>20.273759653647403</c:v>
                </c:pt>
                <c:pt idx="503">
                  <c:v>9.8510154075888465</c:v>
                </c:pt>
                <c:pt idx="504">
                  <c:v>-0.57826353730539637</c:v>
                </c:pt>
                <c:pt idx="505">
                  <c:v>-0.58869603481298183</c:v>
                </c:pt>
                <c:pt idx="506">
                  <c:v>-0.59912853854687931</c:v>
                </c:pt>
                <c:pt idx="507">
                  <c:v>-0.60956104850688764</c:v>
                </c:pt>
                <c:pt idx="508">
                  <c:v>-0.61999356469280564</c:v>
                </c:pt>
                <c:pt idx="509">
                  <c:v>-0.63042608710443215</c:v>
                </c:pt>
                <c:pt idx="510">
                  <c:v>-0.640858615741566</c:v>
                </c:pt>
                <c:pt idx="511">
                  <c:v>-0.65129115060400611</c:v>
                </c:pt>
                <c:pt idx="512">
                  <c:v>-0.66172369169155121</c:v>
                </c:pt>
                <c:pt idx="513">
                  <c:v>-0.67215623900400023</c:v>
                </c:pt>
                <c:pt idx="514">
                  <c:v>-0.68258879254115201</c:v>
                </c:pt>
                <c:pt idx="515">
                  <c:v>-0.69302135230280548</c:v>
                </c:pt>
                <c:pt idx="516">
                  <c:v>-0.70345391828875936</c:v>
                </c:pt>
                <c:pt idx="517">
                  <c:v>-0.71388649049881259</c:v>
                </c:pt>
                <c:pt idx="518">
                  <c:v>-0.7243190689327641</c:v>
                </c:pt>
                <c:pt idx="519">
                  <c:v>-0.73475165359041261</c:v>
                </c:pt>
                <c:pt idx="520">
                  <c:v>-0.74518424447155707</c:v>
                </c:pt>
                <c:pt idx="521">
                  <c:v>-0.7556168415759964</c:v>
                </c:pt>
                <c:pt idx="522">
                  <c:v>-0.76604944490352944</c:v>
                </c:pt>
                <c:pt idx="523">
                  <c:v>-0.77648205445395502</c:v>
                </c:pt>
                <c:pt idx="524">
                  <c:v>-0.78691467022707207</c:v>
                </c:pt>
                <c:pt idx="525">
                  <c:v>-0.79734729222267953</c:v>
                </c:pt>
                <c:pt idx="526">
                  <c:v>-0.80777992044057623</c:v>
                </c:pt>
                <c:pt idx="527">
                  <c:v>-0.81821255488056099</c:v>
                </c:pt>
                <c:pt idx="528">
                  <c:v>-0.82864519554243277</c:v>
                </c:pt>
                <c:pt idx="529">
                  <c:v>-0.83907784242599048</c:v>
                </c:pt>
                <c:pt idx="530">
                  <c:v>-0.84951049553103308</c:v>
                </c:pt>
                <c:pt idx="531">
                  <c:v>-0.85994315485735939</c:v>
                </c:pt>
                <c:pt idx="532">
                  <c:v>-0.87037582040476835</c:v>
                </c:pt>
                <c:pt idx="533">
                  <c:v>-0.8808084921730589</c:v>
                </c:pt>
                <c:pt idx="534">
                  <c:v>-0.89124117016202986</c:v>
                </c:pt>
                <c:pt idx="535">
                  <c:v>-0.90167385437148018</c:v>
                </c:pt>
                <c:pt idx="536">
                  <c:v>-0.91210654480120879</c:v>
                </c:pt>
                <c:pt idx="537">
                  <c:v>-0.92253924145101462</c:v>
                </c:pt>
                <c:pt idx="538">
                  <c:v>-0.93297194432069663</c:v>
                </c:pt>
                <c:pt idx="539">
                  <c:v>-0.94340465341005375</c:v>
                </c:pt>
                <c:pt idx="540">
                  <c:v>-0.95383736871888491</c:v>
                </c:pt>
                <c:pt idx="541">
                  <c:v>-0.96427009024698895</c:v>
                </c:pt>
                <c:pt idx="542">
                  <c:v>-0.97470281799416492</c:v>
                </c:pt>
                <c:pt idx="543">
                  <c:v>-0.98513555196021174</c:v>
                </c:pt>
                <c:pt idx="544">
                  <c:v>-0.99556829214492826</c:v>
                </c:pt>
                <c:pt idx="545">
                  <c:v>-1.0060010385481135</c:v>
                </c:pt>
                <c:pt idx="546">
                  <c:v>-1.0164337911695664</c:v>
                </c:pt>
                <c:pt idx="547">
                  <c:v>-1.0268665500090861</c:v>
                </c:pt>
                <c:pt idx="548">
                  <c:v>-1.0372993150664713</c:v>
                </c:pt>
                <c:pt idx="549">
                  <c:v>-1.0477320863415209</c:v>
                </c:pt>
                <c:pt idx="550">
                  <c:v>-1.0581648638340342</c:v>
                </c:pt>
                <c:pt idx="551">
                  <c:v>-1.0685976475438099</c:v>
                </c:pt>
                <c:pt idx="552">
                  <c:v>-1.079030437470647</c:v>
                </c:pt>
                <c:pt idx="553">
                  <c:v>-1.0894632336143444</c:v>
                </c:pt>
                <c:pt idx="554">
                  <c:v>-1.0998960359747012</c:v>
                </c:pt>
                <c:pt idx="555">
                  <c:v>-1.1103288445515165</c:v>
                </c:pt>
                <c:pt idx="556">
                  <c:v>-1.120761659344589</c:v>
                </c:pt>
                <c:pt idx="557">
                  <c:v>-1.1311944803537179</c:v>
                </c:pt>
                <c:pt idx="558">
                  <c:v>-1.1416273075787022</c:v>
                </c:pt>
                <c:pt idx="559">
                  <c:v>-1.1520601410193407</c:v>
                </c:pt>
                <c:pt idx="560">
                  <c:v>-1.1624929806754325</c:v>
                </c:pt>
                <c:pt idx="561">
                  <c:v>-1.1729258265467766</c:v>
                </c:pt>
                <c:pt idx="562">
                  <c:v>-1.183358678633172</c:v>
                </c:pt>
                <c:pt idx="563">
                  <c:v>-1.1937915369344176</c:v>
                </c:pt>
                <c:pt idx="564">
                  <c:v>-1.2042244014503125</c:v>
                </c:pt>
                <c:pt idx="565">
                  <c:v>-1.2146572721806557</c:v>
                </c:pt>
                <c:pt idx="566">
                  <c:v>-1.2250901491252462</c:v>
                </c:pt>
                <c:pt idx="567">
                  <c:v>-1.235523032283883</c:v>
                </c:pt>
                <c:pt idx="568">
                  <c:v>-1.2459559216563652</c:v>
                </c:pt>
                <c:pt idx="569">
                  <c:v>-1.2563888172424917</c:v>
                </c:pt>
                <c:pt idx="570">
                  <c:v>-1.2668217190420616</c:v>
                </c:pt>
                <c:pt idx="571">
                  <c:v>-1.2772546270548739</c:v>
                </c:pt>
                <c:pt idx="572">
                  <c:v>-1.2876875412807276</c:v>
                </c:pt>
                <c:pt idx="573">
                  <c:v>-1.298120461719422</c:v>
                </c:pt>
                <c:pt idx="574">
                  <c:v>-1.3085533883707556</c:v>
                </c:pt>
                <c:pt idx="575">
                  <c:v>-1.3189863212345279</c:v>
                </c:pt>
                <c:pt idx="576">
                  <c:v>-1.3294192603105377</c:v>
                </c:pt>
                <c:pt idx="577">
                  <c:v>-1.3398522055985842</c:v>
                </c:pt>
                <c:pt idx="578">
                  <c:v>-1.3502851570984664</c:v>
                </c:pt>
                <c:pt idx="579">
                  <c:v>-1.3607181148099834</c:v>
                </c:pt>
                <c:pt idx="580">
                  <c:v>-1.3711510787329342</c:v>
                </c:pt>
                <c:pt idx="581">
                  <c:v>-1.3815840488671176</c:v>
                </c:pt>
                <c:pt idx="582">
                  <c:v>-1.3920170252123329</c:v>
                </c:pt>
                <c:pt idx="583">
                  <c:v>-1.4024500077683792</c:v>
                </c:pt>
                <c:pt idx="584">
                  <c:v>-1.4128829965350556</c:v>
                </c:pt>
                <c:pt idx="585">
                  <c:v>-1.4233159915121609</c:v>
                </c:pt>
                <c:pt idx="586">
                  <c:v>-1.4337489926994946</c:v>
                </c:pt>
                <c:pt idx="587">
                  <c:v>-1.4441820000968555</c:v>
                </c:pt>
                <c:pt idx="588">
                  <c:v>-1.4546150137040426</c:v>
                </c:pt>
                <c:pt idx="589">
                  <c:v>-1.4650480335208551</c:v>
                </c:pt>
                <c:pt idx="590">
                  <c:v>-1.4754810595470922</c:v>
                </c:pt>
                <c:pt idx="591">
                  <c:v>-1.4859140917825528</c:v>
                </c:pt>
                <c:pt idx="592">
                  <c:v>-1.4963471302270361</c:v>
                </c:pt>
                <c:pt idx="593">
                  <c:v>-1.5067801748803411</c:v>
                </c:pt>
                <c:pt idx="594">
                  <c:v>-1.517213225742267</c:v>
                </c:pt>
                <c:pt idx="595">
                  <c:v>-1.5276462828126127</c:v>
                </c:pt>
                <c:pt idx="596">
                  <c:v>-1.5380793460911775</c:v>
                </c:pt>
                <c:pt idx="597">
                  <c:v>-1.5485124155777603</c:v>
                </c:pt>
                <c:pt idx="598">
                  <c:v>-1.5589454912721605</c:v>
                </c:pt>
                <c:pt idx="599">
                  <c:v>-1.5693785731741772</c:v>
                </c:pt>
                <c:pt idx="600">
                  <c:v>-1.5798116612836093</c:v>
                </c:pt>
                <c:pt idx="601">
                  <c:v>-1.5902447556002559</c:v>
                </c:pt>
                <c:pt idx="602">
                  <c:v>-1.6006778561239163</c:v>
                </c:pt>
                <c:pt idx="603">
                  <c:v>-1.6111109628543894</c:v>
                </c:pt>
                <c:pt idx="604">
                  <c:v>-1.6215440757914745</c:v>
                </c:pt>
                <c:pt idx="605">
                  <c:v>-1.6319771949349706</c:v>
                </c:pt>
                <c:pt idx="606">
                  <c:v>-1.6424103202846769</c:v>
                </c:pt>
                <c:pt idx="607">
                  <c:v>-1.6528434518403927</c:v>
                </c:pt>
                <c:pt idx="608">
                  <c:v>-1.663276589601917</c:v>
                </c:pt>
                <c:pt idx="609">
                  <c:v>-1.673709733569049</c:v>
                </c:pt>
                <c:pt idx="610">
                  <c:v>-1.6841428837415877</c:v>
                </c:pt>
                <c:pt idx="611">
                  <c:v>-1.6945760401193324</c:v>
                </c:pt>
                <c:pt idx="612">
                  <c:v>-1.705009202702082</c:v>
                </c:pt>
                <c:pt idx="613">
                  <c:v>-1.7154423714896359</c:v>
                </c:pt>
                <c:pt idx="614">
                  <c:v>-1.7258755464817932</c:v>
                </c:pt>
                <c:pt idx="615">
                  <c:v>-1.7363087276783531</c:v>
                </c:pt>
                <c:pt idx="616">
                  <c:v>-1.7467419150791146</c:v>
                </c:pt>
                <c:pt idx="617">
                  <c:v>-1.7571751086838769</c:v>
                </c:pt>
                <c:pt idx="618">
                  <c:v>-1.7676083084924394</c:v>
                </c:pt>
                <c:pt idx="619">
                  <c:v>-1.7780415145046011</c:v>
                </c:pt>
                <c:pt idx="620">
                  <c:v>-1.7884747267201611</c:v>
                </c:pt>
                <c:pt idx="621">
                  <c:v>-1.7989079451389185</c:v>
                </c:pt>
                <c:pt idx="622">
                  <c:v>-1.8093411697606727</c:v>
                </c:pt>
                <c:pt idx="623">
                  <c:v>-1.819774400585223</c:v>
                </c:pt>
                <c:pt idx="624">
                  <c:v>-1.8302076376123684</c:v>
                </c:pt>
                <c:pt idx="625">
                  <c:v>-1.8406408808419079</c:v>
                </c:pt>
                <c:pt idx="626">
                  <c:v>-1.8510741302736411</c:v>
                </c:pt>
                <c:pt idx="627">
                  <c:v>-1.8615073859073668</c:v>
                </c:pt>
                <c:pt idx="628">
                  <c:v>-1.8719406477428844</c:v>
                </c:pt>
                <c:pt idx="629">
                  <c:v>-1.882373915779993</c:v>
                </c:pt>
                <c:pt idx="630">
                  <c:v>-1.892807190018492</c:v>
                </c:pt>
                <c:pt idx="631">
                  <c:v>-1.9032404704581805</c:v>
                </c:pt>
                <c:pt idx="632">
                  <c:v>-1.9136737570988576</c:v>
                </c:pt>
                <c:pt idx="633">
                  <c:v>-1.9241070499403228</c:v>
                </c:pt>
                <c:pt idx="634">
                  <c:v>-1.9345403489823749</c:v>
                </c:pt>
                <c:pt idx="635">
                  <c:v>-1.9449736542248135</c:v>
                </c:pt>
                <c:pt idx="636">
                  <c:v>-1.9554069656674378</c:v>
                </c:pt>
                <c:pt idx="637">
                  <c:v>-1.9658402833100468</c:v>
                </c:pt>
                <c:pt idx="638">
                  <c:v>-1.9762736071524398</c:v>
                </c:pt>
                <c:pt idx="639">
                  <c:v>-1.9867069371944162</c:v>
                </c:pt>
                <c:pt idx="640">
                  <c:v>-1.9971402734357748</c:v>
                </c:pt>
                <c:pt idx="641">
                  <c:v>-2.0075736158763151</c:v>
                </c:pt>
                <c:pt idx="642">
                  <c:v>-2.0180069645158367</c:v>
                </c:pt>
                <c:pt idx="643">
                  <c:v>-2.0284403193541385</c:v>
                </c:pt>
                <c:pt idx="644">
                  <c:v>-2.0388736803910197</c:v>
                </c:pt>
                <c:pt idx="645">
                  <c:v>-2.0493070476262796</c:v>
                </c:pt>
                <c:pt idx="646">
                  <c:v>-2.0597404210597174</c:v>
                </c:pt>
                <c:pt idx="647">
                  <c:v>-2.0701738006911325</c:v>
                </c:pt>
                <c:pt idx="648">
                  <c:v>-2.0806071865203242</c:v>
                </c:pt>
                <c:pt idx="649">
                  <c:v>-2.0910405785470916</c:v>
                </c:pt>
                <c:pt idx="650">
                  <c:v>-2.101473976771234</c:v>
                </c:pt>
                <c:pt idx="651">
                  <c:v>-2.1119073811925504</c:v>
                </c:pt>
                <c:pt idx="652">
                  <c:v>-2.1223407918108403</c:v>
                </c:pt>
                <c:pt idx="653">
                  <c:v>-2.1327742086259032</c:v>
                </c:pt>
                <c:pt idx="654">
                  <c:v>-2.1432076316375381</c:v>
                </c:pt>
                <c:pt idx="655">
                  <c:v>-2.1536410608455445</c:v>
                </c:pt>
                <c:pt idx="656">
                  <c:v>-2.1640744962497216</c:v>
                </c:pt>
                <c:pt idx="657">
                  <c:v>-2.1745079378498686</c:v>
                </c:pt>
                <c:pt idx="658">
                  <c:v>-2.1849413856457849</c:v>
                </c:pt>
                <c:pt idx="659">
                  <c:v>-2.1953748396372696</c:v>
                </c:pt>
                <c:pt idx="660">
                  <c:v>-2.2058082998241222</c:v>
                </c:pt>
                <c:pt idx="661">
                  <c:v>-2.2162417662061418</c:v>
                </c:pt>
                <c:pt idx="662">
                  <c:v>-2.2266752387831277</c:v>
                </c:pt>
                <c:pt idx="663">
                  <c:v>-2.2371087175548796</c:v>
                </c:pt>
                <c:pt idx="664">
                  <c:v>-2.2475422025211964</c:v>
                </c:pt>
                <c:pt idx="665">
                  <c:v>-2.2579756936818778</c:v>
                </c:pt>
                <c:pt idx="666">
                  <c:v>-2.2684091910367226</c:v>
                </c:pt>
                <c:pt idx="667">
                  <c:v>-2.2788426945855305</c:v>
                </c:pt>
                <c:pt idx="668">
                  <c:v>-2.2892762043281003</c:v>
                </c:pt>
                <c:pt idx="669">
                  <c:v>-2.2997097202642318</c:v>
                </c:pt>
                <c:pt idx="670">
                  <c:v>-2.3101432423937243</c:v>
                </c:pt>
                <c:pt idx="671">
                  <c:v>-2.3205767707163769</c:v>
                </c:pt>
                <c:pt idx="672">
                  <c:v>-2.3310103052319895</c:v>
                </c:pt>
                <c:pt idx="673">
                  <c:v>-2.3414438459403608</c:v>
                </c:pt>
                <c:pt idx="674">
                  <c:v>-2.3518773928412906</c:v>
                </c:pt>
                <c:pt idx="675">
                  <c:v>-2.3623109459345777</c:v>
                </c:pt>
                <c:pt idx="676">
                  <c:v>-2.3727445052200218</c:v>
                </c:pt>
                <c:pt idx="677">
                  <c:v>-2.3831780706974222</c:v>
                </c:pt>
                <c:pt idx="678">
                  <c:v>-2.3936116423665781</c:v>
                </c:pt>
                <c:pt idx="679">
                  <c:v>-2.4040452202272893</c:v>
                </c:pt>
                <c:pt idx="680">
                  <c:v>-2.4144788042793546</c:v>
                </c:pt>
                <c:pt idx="681">
                  <c:v>-2.4249123945225737</c:v>
                </c:pt>
                <c:pt idx="682">
                  <c:v>-2.4353459909567459</c:v>
                </c:pt>
                <c:pt idx="683">
                  <c:v>-2.4457795935816704</c:v>
                </c:pt>
                <c:pt idx="684">
                  <c:v>-2.456213202397147</c:v>
                </c:pt>
                <c:pt idx="685">
                  <c:v>-2.4666468174029745</c:v>
                </c:pt>
                <c:pt idx="686">
                  <c:v>-2.4770804385989527</c:v>
                </c:pt>
                <c:pt idx="687">
                  <c:v>-2.4875140659848807</c:v>
                </c:pt>
                <c:pt idx="688">
                  <c:v>-2.4979476995605583</c:v>
                </c:pt>
                <c:pt idx="689">
                  <c:v>-2.5083813393257843</c:v>
                </c:pt>
                <c:pt idx="690">
                  <c:v>-2.5188149852803585</c:v>
                </c:pt>
                <c:pt idx="691">
                  <c:v>-2.5292486374240801</c:v>
                </c:pt>
                <c:pt idx="692">
                  <c:v>-2.5396822957567489</c:v>
                </c:pt>
                <c:pt idx="693">
                  <c:v>-2.5501159602781636</c:v>
                </c:pt>
                <c:pt idx="694">
                  <c:v>-2.5605496309881239</c:v>
                </c:pt>
                <c:pt idx="695">
                  <c:v>-2.5709833078864293</c:v>
                </c:pt>
                <c:pt idx="696">
                  <c:v>-2.5814169909728792</c:v>
                </c:pt>
                <c:pt idx="697">
                  <c:v>-2.5918506802472732</c:v>
                </c:pt>
                <c:pt idx="698">
                  <c:v>-2.6022843757094103</c:v>
                </c:pt>
                <c:pt idx="699">
                  <c:v>-2.6127180773590899</c:v>
                </c:pt>
                <c:pt idx="700">
                  <c:v>-2.6231517851961117</c:v>
                </c:pt>
                <c:pt idx="701">
                  <c:v>-2.633585499220275</c:v>
                </c:pt>
                <c:pt idx="702">
                  <c:v>-2.6440192194313794</c:v>
                </c:pt>
                <c:pt idx="703">
                  <c:v>-2.6544529458292239</c:v>
                </c:pt>
                <c:pt idx="704">
                  <c:v>-2.664886678413608</c:v>
                </c:pt>
                <c:pt idx="705">
                  <c:v>-2.6753204171843317</c:v>
                </c:pt>
                <c:pt idx="706">
                  <c:v>-2.685754162141194</c:v>
                </c:pt>
                <c:pt idx="707">
                  <c:v>-2.6961879132839943</c:v>
                </c:pt>
                <c:pt idx="708">
                  <c:v>-2.7066216706125323</c:v>
                </c:pt>
                <c:pt idx="709">
                  <c:v>-2.7170554341266073</c:v>
                </c:pt>
                <c:pt idx="710">
                  <c:v>-2.7274892038260186</c:v>
                </c:pt>
                <c:pt idx="711">
                  <c:v>-2.7379229797105658</c:v>
                </c:pt>
                <c:pt idx="712">
                  <c:v>-2.7483567617800482</c:v>
                </c:pt>
                <c:pt idx="713">
                  <c:v>-2.7587905500342655</c:v>
                </c:pt>
                <c:pt idx="714">
                  <c:v>-2.7692243444730171</c:v>
                </c:pt>
                <c:pt idx="715">
                  <c:v>-2.7796581450961022</c:v>
                </c:pt>
                <c:pt idx="716">
                  <c:v>-2.7900919519033205</c:v>
                </c:pt>
                <c:pt idx="717">
                  <c:v>-2.8005257648944712</c:v>
                </c:pt>
                <c:pt idx="718">
                  <c:v>-2.8109595840693542</c:v>
                </c:pt>
                <c:pt idx="719">
                  <c:v>-2.8213934094277686</c:v>
                </c:pt>
                <c:pt idx="720">
                  <c:v>-2.8318272409695142</c:v>
                </c:pt>
                <c:pt idx="721">
                  <c:v>-2.8422610786943903</c:v>
                </c:pt>
                <c:pt idx="722">
                  <c:v>-2.8526949226021965</c:v>
                </c:pt>
                <c:pt idx="723">
                  <c:v>-2.8631287726927321</c:v>
                </c:pt>
                <c:pt idx="724">
                  <c:v>-2.873562628965797</c:v>
                </c:pt>
                <c:pt idx="725">
                  <c:v>-2.8839964914211902</c:v>
                </c:pt>
                <c:pt idx="726">
                  <c:v>-2.8944303600587111</c:v>
                </c:pt>
                <c:pt idx="727">
                  <c:v>-2.9048642348781595</c:v>
                </c:pt>
                <c:pt idx="728">
                  <c:v>-2.915298115879335</c:v>
                </c:pt>
                <c:pt idx="729">
                  <c:v>-2.9257320030620368</c:v>
                </c:pt>
                <c:pt idx="730">
                  <c:v>-2.9361658964260648</c:v>
                </c:pt>
                <c:pt idx="731">
                  <c:v>-2.9465997959712182</c:v>
                </c:pt>
                <c:pt idx="732">
                  <c:v>-2.9570337016972967</c:v>
                </c:pt>
                <c:pt idx="733">
                  <c:v>-2.9674676136040996</c:v>
                </c:pt>
                <c:pt idx="734">
                  <c:v>-2.9779015316914266</c:v>
                </c:pt>
                <c:pt idx="735">
                  <c:v>-2.9883354559590769</c:v>
                </c:pt>
                <c:pt idx="736">
                  <c:v>-2.9987693864068503</c:v>
                </c:pt>
                <c:pt idx="737">
                  <c:v>-3.0092033230345465</c:v>
                </c:pt>
                <c:pt idx="738">
                  <c:v>-3.0196372658419648</c:v>
                </c:pt>
                <c:pt idx="739">
                  <c:v>-3.0300712148289048</c:v>
                </c:pt>
                <c:pt idx="740">
                  <c:v>-3.040505169995166</c:v>
                </c:pt>
                <c:pt idx="741">
                  <c:v>-3.0509391313405478</c:v>
                </c:pt>
                <c:pt idx="742">
                  <c:v>-3.0613730988648498</c:v>
                </c:pt>
                <c:pt idx="743">
                  <c:v>-3.0718070725678719</c:v>
                </c:pt>
                <c:pt idx="744">
                  <c:v>-3.082241052449413</c:v>
                </c:pt>
                <c:pt idx="745">
                  <c:v>-3.0926750385092734</c:v>
                </c:pt>
                <c:pt idx="746">
                  <c:v>-3.1031090307472522</c:v>
                </c:pt>
                <c:pt idx="747">
                  <c:v>-3.1135430291631492</c:v>
                </c:pt>
                <c:pt idx="748">
                  <c:v>-3.1239770337567636</c:v>
                </c:pt>
                <c:pt idx="749">
                  <c:v>-3.1344110445278952</c:v>
                </c:pt>
                <c:pt idx="750">
                  <c:v>-3.1448450614763437</c:v>
                </c:pt>
                <c:pt idx="751">
                  <c:v>-3.1552790846019083</c:v>
                </c:pt>
                <c:pt idx="752">
                  <c:v>-3.1657131139043888</c:v>
                </c:pt>
                <c:pt idx="753">
                  <c:v>-3.1761471493835849</c:v>
                </c:pt>
                <c:pt idx="754">
                  <c:v>-3.1865811910392958</c:v>
                </c:pt>
                <c:pt idx="755">
                  <c:v>-3.1970152388713213</c:v>
                </c:pt>
                <c:pt idx="756">
                  <c:v>-3.2074492928794611</c:v>
                </c:pt>
                <c:pt idx="757">
                  <c:v>-3.2178833530635145</c:v>
                </c:pt>
                <c:pt idx="758">
                  <c:v>-3.2283174194232815</c:v>
                </c:pt>
                <c:pt idx="759">
                  <c:v>-3.2387514919585616</c:v>
                </c:pt>
                <c:pt idx="760">
                  <c:v>-3.2491855706691539</c:v>
                </c:pt>
                <c:pt idx="761">
                  <c:v>-3.2596196555548587</c:v>
                </c:pt>
                <c:pt idx="762">
                  <c:v>-3.2700537466154751</c:v>
                </c:pt>
                <c:pt idx="763">
                  <c:v>-3.2804878438508029</c:v>
                </c:pt>
                <c:pt idx="764">
                  <c:v>-3.2909219472606415</c:v>
                </c:pt>
                <c:pt idx="765">
                  <c:v>-3.3013560568447908</c:v>
                </c:pt>
                <c:pt idx="766">
                  <c:v>-3.3117901726030503</c:v>
                </c:pt>
                <c:pt idx="767">
                  <c:v>-3.3222242945352196</c:v>
                </c:pt>
                <c:pt idx="768">
                  <c:v>-3.3326584226410985</c:v>
                </c:pt>
                <c:pt idx="769">
                  <c:v>-3.3430925569204861</c:v>
                </c:pt>
                <c:pt idx="770">
                  <c:v>-3.3535266973731828</c:v>
                </c:pt>
                <c:pt idx="771">
                  <c:v>-3.3639608439989876</c:v>
                </c:pt>
                <c:pt idx="772">
                  <c:v>-3.3743949967977005</c:v>
                </c:pt>
                <c:pt idx="773">
                  <c:v>-3.384829155769121</c:v>
                </c:pt>
                <c:pt idx="774">
                  <c:v>-3.3952633209130485</c:v>
                </c:pt>
                <c:pt idx="775">
                  <c:v>-3.4056974922292831</c:v>
                </c:pt>
                <c:pt idx="776">
                  <c:v>-3.4161316697176241</c:v>
                </c:pt>
                <c:pt idx="777">
                  <c:v>-3.4265658533778711</c:v>
                </c:pt>
                <c:pt idx="778">
                  <c:v>-3.437000043209824</c:v>
                </c:pt>
                <c:pt idx="779">
                  <c:v>-3.4474342392132824</c:v>
                </c:pt>
                <c:pt idx="780">
                  <c:v>-3.4578684413880461</c:v>
                </c:pt>
                <c:pt idx="781">
                  <c:v>-3.4683026497339147</c:v>
                </c:pt>
                <c:pt idx="782">
                  <c:v>-3.4787368642506875</c:v>
                </c:pt>
                <c:pt idx="783">
                  <c:v>-3.4891710849381647</c:v>
                </c:pt>
                <c:pt idx="784">
                  <c:v>-3.4996053117961456</c:v>
                </c:pt>
                <c:pt idx="785">
                  <c:v>-3.5100395448244299</c:v>
                </c:pt>
                <c:pt idx="786">
                  <c:v>-3.5204737840228173</c:v>
                </c:pt>
                <c:pt idx="787">
                  <c:v>-3.5309080293911075</c:v>
                </c:pt>
                <c:pt idx="788">
                  <c:v>-3.5413422809291002</c:v>
                </c:pt>
                <c:pt idx="789">
                  <c:v>-3.5517765386365951</c:v>
                </c:pt>
                <c:pt idx="790">
                  <c:v>-3.5622108025133921</c:v>
                </c:pt>
                <c:pt idx="791">
                  <c:v>-3.5726450725592906</c:v>
                </c:pt>
                <c:pt idx="792">
                  <c:v>-3.5830793487740902</c:v>
                </c:pt>
                <c:pt idx="793">
                  <c:v>-3.5935136311575908</c:v>
                </c:pt>
                <c:pt idx="794">
                  <c:v>-3.6039479197095923</c:v>
                </c:pt>
                <c:pt idx="795">
                  <c:v>-3.6143822144298938</c:v>
                </c:pt>
                <c:pt idx="796">
                  <c:v>-3.6248165153182956</c:v>
                </c:pt>
                <c:pt idx="797">
                  <c:v>-3.635250822374597</c:v>
                </c:pt>
                <c:pt idx="798">
                  <c:v>-3.645685135598598</c:v>
                </c:pt>
                <c:pt idx="799">
                  <c:v>-3.6561194549900984</c:v>
                </c:pt>
                <c:pt idx="800">
                  <c:v>-3.6665537805488975</c:v>
                </c:pt>
                <c:pt idx="801">
                  <c:v>-3.6769881122747954</c:v>
                </c:pt>
                <c:pt idx="802">
                  <c:v>-3.6874224501675914</c:v>
                </c:pt>
                <c:pt idx="803">
                  <c:v>-3.6978567942270857</c:v>
                </c:pt>
                <c:pt idx="804">
                  <c:v>-3.7082911444530775</c:v>
                </c:pt>
                <c:pt idx="805">
                  <c:v>-3.718725500845367</c:v>
                </c:pt>
                <c:pt idx="806">
                  <c:v>-3.7291598634037539</c:v>
                </c:pt>
                <c:pt idx="807">
                  <c:v>-3.739594232128038</c:v>
                </c:pt>
                <c:pt idx="808">
                  <c:v>-3.7500286070180184</c:v>
                </c:pt>
                <c:pt idx="809">
                  <c:v>-3.7604629880734954</c:v>
                </c:pt>
                <c:pt idx="810">
                  <c:v>-3.7708973752942687</c:v>
                </c:pt>
                <c:pt idx="811">
                  <c:v>-3.781331768680138</c:v>
                </c:pt>
                <c:pt idx="812">
                  <c:v>-3.7917661682309034</c:v>
                </c:pt>
                <c:pt idx="813">
                  <c:v>-3.8022005739463642</c:v>
                </c:pt>
                <c:pt idx="814">
                  <c:v>-3.8126349858263202</c:v>
                </c:pt>
                <c:pt idx="815">
                  <c:v>-3.823069403870571</c:v>
                </c:pt>
                <c:pt idx="816">
                  <c:v>-3.8335038280789169</c:v>
                </c:pt>
                <c:pt idx="817">
                  <c:v>-3.8439382584511574</c:v>
                </c:pt>
                <c:pt idx="818">
                  <c:v>-3.854372694987092</c:v>
                </c:pt>
                <c:pt idx="819">
                  <c:v>-3.8648071376865207</c:v>
                </c:pt>
                <c:pt idx="820">
                  <c:v>-3.8752415865492433</c:v>
                </c:pt>
                <c:pt idx="821">
                  <c:v>-3.88567604157506</c:v>
                </c:pt>
                <c:pt idx="822">
                  <c:v>-3.8961105027637699</c:v>
                </c:pt>
                <c:pt idx="823">
                  <c:v>-3.9065449701151733</c:v>
                </c:pt>
                <c:pt idx="824">
                  <c:v>-3.9169794436290695</c:v>
                </c:pt>
                <c:pt idx="825">
                  <c:v>-3.9274139233052585</c:v>
                </c:pt>
                <c:pt idx="826">
                  <c:v>-3.9378484091435402</c:v>
                </c:pt>
                <c:pt idx="827">
                  <c:v>-3.9482829011437142</c:v>
                </c:pt>
                <c:pt idx="828">
                  <c:v>-3.9587173993055806</c:v>
                </c:pt>
                <c:pt idx="829">
                  <c:v>-3.9691519036289389</c:v>
                </c:pt>
                <c:pt idx="830">
                  <c:v>-3.979586414113589</c:v>
                </c:pt>
                <c:pt idx="831">
                  <c:v>-3.9900209307593308</c:v>
                </c:pt>
                <c:pt idx="832">
                  <c:v>-4.000455453565964</c:v>
                </c:pt>
                <c:pt idx="833">
                  <c:v>-4.0108899825332891</c:v>
                </c:pt>
                <c:pt idx="834">
                  <c:v>-4.021324517661105</c:v>
                </c:pt>
                <c:pt idx="835">
                  <c:v>-4.0317590589492118</c:v>
                </c:pt>
                <c:pt idx="836">
                  <c:v>-4.0421936063974098</c:v>
                </c:pt>
                <c:pt idx="837">
                  <c:v>-4.0526281600054981</c:v>
                </c:pt>
                <c:pt idx="838">
                  <c:v>-4.0630627197732769</c:v>
                </c:pt>
                <c:pt idx="839">
                  <c:v>-4.0734972857005456</c:v>
                </c:pt>
                <c:pt idx="840">
                  <c:v>-4.0839318577871042</c:v>
                </c:pt>
                <c:pt idx="841">
                  <c:v>-4.094366436032753</c:v>
                </c:pt>
                <c:pt idx="842">
                  <c:v>-4.104801020437292</c:v>
                </c:pt>
                <c:pt idx="843">
                  <c:v>-4.1152356110005206</c:v>
                </c:pt>
                <c:pt idx="844">
                  <c:v>-4.125670207722238</c:v>
                </c:pt>
                <c:pt idx="845">
                  <c:v>-4.1361048106022453</c:v>
                </c:pt>
                <c:pt idx="846">
                  <c:v>-4.1465394196403418</c:v>
                </c:pt>
                <c:pt idx="847">
                  <c:v>-4.1569740348363267</c:v>
                </c:pt>
                <c:pt idx="848">
                  <c:v>-4.167408656190001</c:v>
                </c:pt>
                <c:pt idx="849">
                  <c:v>-4.1778432837011641</c:v>
                </c:pt>
                <c:pt idx="850">
                  <c:v>-4.1882779173696161</c:v>
                </c:pt>
                <c:pt idx="851">
                  <c:v>-4.1987125571951562</c:v>
                </c:pt>
                <c:pt idx="852">
                  <c:v>-4.2091472031775847</c:v>
                </c:pt>
                <c:pt idx="853">
                  <c:v>-4.2195818553167017</c:v>
                </c:pt>
                <c:pt idx="854">
                  <c:v>-4.2300165136123065</c:v>
                </c:pt>
                <c:pt idx="855">
                  <c:v>-4.2404511780641991</c:v>
                </c:pt>
                <c:pt idx="856">
                  <c:v>-4.2508858486721799</c:v>
                </c:pt>
                <c:pt idx="857">
                  <c:v>-4.2613205254360489</c:v>
                </c:pt>
                <c:pt idx="858">
                  <c:v>-4.2717552083556054</c:v>
                </c:pt>
                <c:pt idx="859">
                  <c:v>-4.2821898974306496</c:v>
                </c:pt>
                <c:pt idx="860">
                  <c:v>-4.2926245926609807</c:v>
                </c:pt>
                <c:pt idx="861">
                  <c:v>-4.3030592940463999</c:v>
                </c:pt>
                <c:pt idx="862">
                  <c:v>-4.3134940015867063</c:v>
                </c:pt>
                <c:pt idx="863">
                  <c:v>-4.3239287152817001</c:v>
                </c:pt>
                <c:pt idx="864">
                  <c:v>-4.3343634351311806</c:v>
                </c:pt>
                <c:pt idx="865">
                  <c:v>-4.344798161134948</c:v>
                </c:pt>
                <c:pt idx="866">
                  <c:v>-4.3552328932928024</c:v>
                </c:pt>
                <c:pt idx="867">
                  <c:v>-4.365667631604544</c:v>
                </c:pt>
                <c:pt idx="868">
                  <c:v>-4.376102376069972</c:v>
                </c:pt>
                <c:pt idx="869">
                  <c:v>-4.3865371266888866</c:v>
                </c:pt>
                <c:pt idx="870">
                  <c:v>-4.396971883461088</c:v>
                </c:pt>
                <c:pt idx="871">
                  <c:v>-4.4074066463863764</c:v>
                </c:pt>
                <c:pt idx="872">
                  <c:v>-4.4178414154645509</c:v>
                </c:pt>
                <c:pt idx="873">
                  <c:v>-4.4282761906954118</c:v>
                </c:pt>
                <c:pt idx="874">
                  <c:v>-4.4387109720787592</c:v>
                </c:pt>
                <c:pt idx="875">
                  <c:v>-4.4491457596143933</c:v>
                </c:pt>
                <c:pt idx="876">
                  <c:v>-4.4595805533021133</c:v>
                </c:pt>
                <c:pt idx="877">
                  <c:v>-4.4700153531417195</c:v>
                </c:pt>
                <c:pt idx="878">
                  <c:v>-4.4804501591330119</c:v>
                </c:pt>
                <c:pt idx="879">
                  <c:v>-4.4908849712757908</c:v>
                </c:pt>
                <c:pt idx="880">
                  <c:v>-4.5013197895698553</c:v>
                </c:pt>
                <c:pt idx="881">
                  <c:v>-4.5117546140150058</c:v>
                </c:pt>
                <c:pt idx="882">
                  <c:v>-4.5221894446110422</c:v>
                </c:pt>
                <c:pt idx="883">
                  <c:v>-4.5326242813577649</c:v>
                </c:pt>
                <c:pt idx="884">
                  <c:v>-4.5430591242549738</c:v>
                </c:pt>
                <c:pt idx="885">
                  <c:v>-4.5534939733024684</c:v>
                </c:pt>
                <c:pt idx="886">
                  <c:v>-4.5639288285000488</c:v>
                </c:pt>
                <c:pt idx="887">
                  <c:v>-4.5743636898475151</c:v>
                </c:pt>
                <c:pt idx="888">
                  <c:v>-4.5847985573446675</c:v>
                </c:pt>
                <c:pt idx="889">
                  <c:v>-4.5952334309913061</c:v>
                </c:pt>
                <c:pt idx="890">
                  <c:v>-4.6056683107872303</c:v>
                </c:pt>
                <c:pt idx="891">
                  <c:v>-4.6161031967322401</c:v>
                </c:pt>
                <c:pt idx="892">
                  <c:v>-4.6265380888261358</c:v>
                </c:pt>
                <c:pt idx="893">
                  <c:v>-4.6369729870687175</c:v>
                </c:pt>
                <c:pt idx="894">
                  <c:v>-4.6474078914597854</c:v>
                </c:pt>
                <c:pt idx="895">
                  <c:v>-4.6578428019991387</c:v>
                </c:pt>
                <c:pt idx="896">
                  <c:v>-4.6682777186865776</c:v>
                </c:pt>
                <c:pt idx="897">
                  <c:v>-4.6787126415219022</c:v>
                </c:pt>
                <c:pt idx="898">
                  <c:v>-4.6891475705049128</c:v>
                </c:pt>
                <c:pt idx="899">
                  <c:v>-4.6995825056354095</c:v>
                </c:pt>
                <c:pt idx="900">
                  <c:v>-4.7100174469131924</c:v>
                </c:pt>
                <c:pt idx="901">
                  <c:v>-4.7204523943380607</c:v>
                </c:pt>
                <c:pt idx="902">
                  <c:v>-4.7308873479098157</c:v>
                </c:pt>
                <c:pt idx="903">
                  <c:v>-4.7413223076282565</c:v>
                </c:pt>
                <c:pt idx="904">
                  <c:v>-4.7517572734931832</c:v>
                </c:pt>
                <c:pt idx="905">
                  <c:v>-4.7621922455043961</c:v>
                </c:pt>
                <c:pt idx="906">
                  <c:v>-4.7726272236616953</c:v>
                </c:pt>
                <c:pt idx="907">
                  <c:v>-4.7830622079648801</c:v>
                </c:pt>
                <c:pt idx="908">
                  <c:v>-4.7934971984137515</c:v>
                </c:pt>
                <c:pt idx="909">
                  <c:v>-4.8039321950081089</c:v>
                </c:pt>
                <c:pt idx="910">
                  <c:v>-4.8143671977477522</c:v>
                </c:pt>
                <c:pt idx="911">
                  <c:v>-4.8248022066324818</c:v>
                </c:pt>
                <c:pt idx="912">
                  <c:v>-4.8352372216620978</c:v>
                </c:pt>
                <c:pt idx="913">
                  <c:v>-4.8456722428364003</c:v>
                </c:pt>
                <c:pt idx="914">
                  <c:v>-4.8561072701551895</c:v>
                </c:pt>
                <c:pt idx="915">
                  <c:v>-4.8665423036182656</c:v>
                </c:pt>
                <c:pt idx="916">
                  <c:v>-4.8769773432254278</c:v>
                </c:pt>
                <c:pt idx="917">
                  <c:v>-4.8874123889764771</c:v>
                </c:pt>
                <c:pt idx="918">
                  <c:v>-4.8978474408712129</c:v>
                </c:pt>
                <c:pt idx="919">
                  <c:v>-4.9082824989094354</c:v>
                </c:pt>
                <c:pt idx="920">
                  <c:v>-4.9187175630909445</c:v>
                </c:pt>
                <c:pt idx="921">
                  <c:v>-4.9291526334155416</c:v>
                </c:pt>
                <c:pt idx="922">
                  <c:v>-4.9395877098830256</c:v>
                </c:pt>
                <c:pt idx="923">
                  <c:v>-4.950022792493197</c:v>
                </c:pt>
                <c:pt idx="924">
                  <c:v>-4.9604578812458548</c:v>
                </c:pt>
                <c:pt idx="925">
                  <c:v>-4.9708929761408003</c:v>
                </c:pt>
                <c:pt idx="926">
                  <c:v>-4.9813280771778334</c:v>
                </c:pt>
                <c:pt idx="927">
                  <c:v>-4.9917631843567536</c:v>
                </c:pt>
                <c:pt idx="928">
                  <c:v>-5.0021982976773618</c:v>
                </c:pt>
                <c:pt idx="929">
                  <c:v>-5.0126334171394582</c:v>
                </c:pt>
                <c:pt idx="930">
                  <c:v>-5.0230685427428421</c:v>
                </c:pt>
                <c:pt idx="931">
                  <c:v>-5.0335036744873136</c:v>
                </c:pt>
                <c:pt idx="932">
                  <c:v>-5.0439388123726738</c:v>
                </c:pt>
                <c:pt idx="933">
                  <c:v>-5.054373956398722</c:v>
                </c:pt>
                <c:pt idx="934">
                  <c:v>-5.0648091065652583</c:v>
                </c:pt>
                <c:pt idx="935">
                  <c:v>-5.0752442628720837</c:v>
                </c:pt>
                <c:pt idx="936">
                  <c:v>-5.0856794253189976</c:v>
                </c:pt>
                <c:pt idx="937">
                  <c:v>-5.0961145939058001</c:v>
                </c:pt>
                <c:pt idx="938">
                  <c:v>-5.1065497686322914</c:v>
                </c:pt>
                <c:pt idx="939">
                  <c:v>-5.1169849494982715</c:v>
                </c:pt>
                <c:pt idx="940">
                  <c:v>-5.1274201365035408</c:v>
                </c:pt>
                <c:pt idx="941">
                  <c:v>-5.1378553296478993</c:v>
                </c:pt>
                <c:pt idx="942">
                  <c:v>-5.1482905289311471</c:v>
                </c:pt>
                <c:pt idx="943">
                  <c:v>-5.1587257343530846</c:v>
                </c:pt>
                <c:pt idx="944">
                  <c:v>-5.1691609459135117</c:v>
                </c:pt>
                <c:pt idx="945">
                  <c:v>-5.1795961636122287</c:v>
                </c:pt>
                <c:pt idx="946">
                  <c:v>-5.1900313874490358</c:v>
                </c:pt>
                <c:pt idx="947">
                  <c:v>-5.2004666174237331</c:v>
                </c:pt>
                <c:pt idx="948">
                  <c:v>-5.2109018535361207</c:v>
                </c:pt>
                <c:pt idx="949">
                  <c:v>-5.2213370957859997</c:v>
                </c:pt>
                <c:pt idx="950">
                  <c:v>-5.2317723441731694</c:v>
                </c:pt>
                <c:pt idx="951">
                  <c:v>-5.2422075986974299</c:v>
                </c:pt>
                <c:pt idx="952">
                  <c:v>-5.2526428593585814</c:v>
                </c:pt>
                <c:pt idx="953">
                  <c:v>-5.2630781261564241</c:v>
                </c:pt>
                <c:pt idx="954">
                  <c:v>-5.2735133990907581</c:v>
                </c:pt>
                <c:pt idx="955">
                  <c:v>-5.2839486781613836</c:v>
                </c:pt>
                <c:pt idx="956">
                  <c:v>-5.2943839633681007</c:v>
                </c:pt>
                <c:pt idx="957">
                  <c:v>-5.3048192547107096</c:v>
                </c:pt>
                <c:pt idx="958">
                  <c:v>-5.3152545521890113</c:v>
                </c:pt>
                <c:pt idx="959">
                  <c:v>-5.3256898558028052</c:v>
                </c:pt>
                <c:pt idx="960">
                  <c:v>-5.3361251655518913</c:v>
                </c:pt>
                <c:pt idx="961">
                  <c:v>-5.3465604814360708</c:v>
                </c:pt>
                <c:pt idx="962">
                  <c:v>-5.3569958034551428</c:v>
                </c:pt>
                <c:pt idx="963">
                  <c:v>-5.3674311316089085</c:v>
                </c:pt>
                <c:pt idx="964">
                  <c:v>-5.3778664658971671</c:v>
                </c:pt>
                <c:pt idx="965">
                  <c:v>-5.3883018063197197</c:v>
                </c:pt>
                <c:pt idx="966">
                  <c:v>-5.3987371528763655</c:v>
                </c:pt>
                <c:pt idx="967">
                  <c:v>-5.4091725055669055</c:v>
                </c:pt>
                <c:pt idx="968">
                  <c:v>-5.4196078643911401</c:v>
                </c:pt>
                <c:pt idx="969">
                  <c:v>-5.4300432293488692</c:v>
                </c:pt>
                <c:pt idx="970">
                  <c:v>-5.4404786004398931</c:v>
                </c:pt>
                <c:pt idx="971">
                  <c:v>-5.4509139776640119</c:v>
                </c:pt>
                <c:pt idx="972">
                  <c:v>-5.4613493610210258</c:v>
                </c:pt>
                <c:pt idx="973">
                  <c:v>-5.4717847505107349</c:v>
                </c:pt>
                <c:pt idx="974">
                  <c:v>-5.4822201461329403</c:v>
                </c:pt>
                <c:pt idx="975">
                  <c:v>-5.4926555478874413</c:v>
                </c:pt>
                <c:pt idx="976">
                  <c:v>-5.5030909557740388</c:v>
                </c:pt>
                <c:pt idx="977">
                  <c:v>-5.5135263697925323</c:v>
                </c:pt>
                <c:pt idx="978">
                  <c:v>-5.5239617899427227</c:v>
                </c:pt>
                <c:pt idx="979">
                  <c:v>-5.5343972162244102</c:v>
                </c:pt>
                <c:pt idx="980">
                  <c:v>-5.5448326486373949</c:v>
                </c:pt>
                <c:pt idx="981">
                  <c:v>-5.555268087181477</c:v>
                </c:pt>
                <c:pt idx="982">
                  <c:v>-5.5657035318564567</c:v>
                </c:pt>
                <c:pt idx="983">
                  <c:v>-5.5761389826621341</c:v>
                </c:pt>
                <c:pt idx="984">
                  <c:v>-5.5865744395983103</c:v>
                </c:pt>
                <c:pt idx="985">
                  <c:v>-5.5970099026647846</c:v>
                </c:pt>
                <c:pt idx="986">
                  <c:v>-5.6074453718613579</c:v>
                </c:pt>
                <c:pt idx="987">
                  <c:v>-5.6178808471878305</c:v>
                </c:pt>
                <c:pt idx="988">
                  <c:v>-5.6283163286440026</c:v>
                </c:pt>
                <c:pt idx="989">
                  <c:v>-5.6387518162296741</c:v>
                </c:pt>
                <c:pt idx="990">
                  <c:v>-5.6491873099446455</c:v>
                </c:pt>
                <c:pt idx="991">
                  <c:v>-5.6596228097887176</c:v>
                </c:pt>
                <c:pt idx="992">
                  <c:v>-5.6700583157616897</c:v>
                </c:pt>
                <c:pt idx="993">
                  <c:v>-5.680493827863363</c:v>
                </c:pt>
                <c:pt idx="994">
                  <c:v>-5.6909293460935375</c:v>
                </c:pt>
                <c:pt idx="995">
                  <c:v>-5.7013648704520135</c:v>
                </c:pt>
                <c:pt idx="996">
                  <c:v>-5.711800400938591</c:v>
                </c:pt>
                <c:pt idx="997">
                  <c:v>-5.7222359375530711</c:v>
                </c:pt>
                <c:pt idx="998">
                  <c:v>-5.7326714802952532</c:v>
                </c:pt>
                <c:pt idx="999">
                  <c:v>-5.7431070291649382</c:v>
                </c:pt>
                <c:pt idx="1000">
                  <c:v>-5.7535425841619263</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16.399999999999999</c:v>
                </c:pt>
                <c:pt idx="1">
                  <c:v>74.63711554258343</c:v>
                </c:pt>
                <c:pt idx="2">
                  <c:v>132.87423108516685</c:v>
                </c:pt>
                <c:pt idx="3">
                  <c:v>131.4809035302635</c:v>
                </c:pt>
                <c:pt idx="4">
                  <c:v>132.87423108516685</c:v>
                </c:pt>
                <c:pt idx="5">
                  <c:v>127.78090353026346</c:v>
                </c:pt>
                <c:pt idx="6">
                  <c:v>132.87423108516685</c:v>
                </c:pt>
              </c:numCache>
            </c:numRef>
          </c:xVal>
          <c:yVal>
            <c:numRef>
              <c:f>Trajecto!$C$132:$C$138</c:f>
              <c:numCache>
                <c:formatCode>0</c:formatCode>
                <c:ptCount val="7"/>
                <c:pt idx="0">
                  <c:v>1439.2737900663878</c:v>
                </c:pt>
                <c:pt idx="1">
                  <c:v>719.63689503319392</c:v>
                </c:pt>
                <c:pt idx="2">
                  <c:v>0</c:v>
                </c:pt>
                <c:pt idx="3">
                  <c:v>57.643465793774709</c:v>
                </c:pt>
                <c:pt idx="4">
                  <c:v>0</c:v>
                </c:pt>
                <c:pt idx="5">
                  <c:v>22.512226995632492</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0</c:v>
                </c:pt>
                <c:pt idx="1">
                  <c:v>0</c:v>
                </c:pt>
                <c:pt idx="2">
                  <c:v>0</c:v>
                </c:pt>
                <c:pt idx="3">
                  <c:v>0</c:v>
                </c:pt>
                <c:pt idx="4">
                  <c:v>0</c:v>
                </c:pt>
                <c:pt idx="5">
                  <c:v>0</c:v>
                </c:pt>
                <c:pt idx="6">
                  <c:v>0</c:v>
                </c:pt>
              </c:numCache>
            </c:numRef>
          </c:xVal>
          <c:yVal>
            <c:numRef>
              <c:f>Trajecto!$C$149:$C$155</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Calculs!$AE$4:$AE$1004</c:f>
              <c:numCache>
                <c:formatCode>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4.0999999999999996</c:v>
                </c:pt>
              </c:numCache>
            </c:numRef>
          </c:xVal>
          <c:yVal>
            <c:numRef>
              <c:f>Trajecto!$C$158</c:f>
              <c:numCache>
                <c:formatCode>0</c:formatCode>
                <c:ptCount val="1"/>
                <c:pt idx="0">
                  <c:v>719.63689503319392</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26.700000000000074</c:v>
                </c:pt>
              </c:numCache>
            </c:numRef>
          </c:xVal>
          <c:yVal>
            <c:numRef>
              <c:f>Trajecto!$C$159</c:f>
              <c:numCache>
                <c:formatCode>0</c:formatCode>
                <c:ptCount val="1"/>
                <c:pt idx="0">
                  <c:v>719.63689503319392</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Calculs!$Q$4:$Q$1004</c:f>
              <c:numCache>
                <c:formatCode>0.00</c:formatCode>
                <c:ptCount val="1001"/>
                <c:pt idx="0">
                  <c:v>0</c:v>
                </c:pt>
                <c:pt idx="1">
                  <c:v>62.499999999998664</c:v>
                </c:pt>
                <c:pt idx="2">
                  <c:v>187.49999999999599</c:v>
                </c:pt>
                <c:pt idx="3">
                  <c:v>240.00000000000108</c:v>
                </c:pt>
                <c:pt idx="4">
                  <c:v>220.00000000000148</c:v>
                </c:pt>
                <c:pt idx="5">
                  <c:v>209.56896551724145</c:v>
                </c:pt>
                <c:pt idx="6">
                  <c:v>208.70689655172424</c:v>
                </c:pt>
                <c:pt idx="7">
                  <c:v>207.844827586207</c:v>
                </c:pt>
                <c:pt idx="8">
                  <c:v>206.98275862068979</c:v>
                </c:pt>
                <c:pt idx="9">
                  <c:v>206.12068965517258</c:v>
                </c:pt>
                <c:pt idx="10">
                  <c:v>205.25862068965534</c:v>
                </c:pt>
                <c:pt idx="11">
                  <c:v>204.39655172413813</c:v>
                </c:pt>
                <c:pt idx="12">
                  <c:v>203.5344827586209</c:v>
                </c:pt>
                <c:pt idx="13">
                  <c:v>202.67241379310369</c:v>
                </c:pt>
                <c:pt idx="14">
                  <c:v>201.81034482758645</c:v>
                </c:pt>
                <c:pt idx="15">
                  <c:v>200.94827586206924</c:v>
                </c:pt>
                <c:pt idx="16">
                  <c:v>200.086206896552</c:v>
                </c:pt>
                <c:pt idx="17">
                  <c:v>199.22413793103479</c:v>
                </c:pt>
                <c:pt idx="18">
                  <c:v>198.36206896551755</c:v>
                </c:pt>
                <c:pt idx="19">
                  <c:v>197.50000000000034</c:v>
                </c:pt>
                <c:pt idx="20">
                  <c:v>196.63793103448313</c:v>
                </c:pt>
                <c:pt idx="21">
                  <c:v>195.77586206896589</c:v>
                </c:pt>
                <c:pt idx="22">
                  <c:v>194.91379310344868</c:v>
                </c:pt>
                <c:pt idx="23">
                  <c:v>194.05172413793144</c:v>
                </c:pt>
                <c:pt idx="24">
                  <c:v>193.18965517241423</c:v>
                </c:pt>
                <c:pt idx="25">
                  <c:v>192.327586206897</c:v>
                </c:pt>
                <c:pt idx="26">
                  <c:v>191.46551724137979</c:v>
                </c:pt>
                <c:pt idx="27">
                  <c:v>190.60344827586255</c:v>
                </c:pt>
                <c:pt idx="28">
                  <c:v>189.74137931034534</c:v>
                </c:pt>
                <c:pt idx="29">
                  <c:v>188.8793103448281</c:v>
                </c:pt>
                <c:pt idx="30">
                  <c:v>188.01724137931089</c:v>
                </c:pt>
                <c:pt idx="31">
                  <c:v>187.15517241379365</c:v>
                </c:pt>
                <c:pt idx="32">
                  <c:v>186.29310344827644</c:v>
                </c:pt>
                <c:pt idx="33">
                  <c:v>185.43103448275923</c:v>
                </c:pt>
                <c:pt idx="34">
                  <c:v>184.56896551724199</c:v>
                </c:pt>
                <c:pt idx="35">
                  <c:v>183.70689655172475</c:v>
                </c:pt>
                <c:pt idx="36">
                  <c:v>182.84482758620754</c:v>
                </c:pt>
                <c:pt idx="37">
                  <c:v>181.98275862069033</c:v>
                </c:pt>
                <c:pt idx="38">
                  <c:v>181.12068965517309</c:v>
                </c:pt>
                <c:pt idx="39">
                  <c:v>180.25862068965588</c:v>
                </c:pt>
                <c:pt idx="40">
                  <c:v>179.39655172413865</c:v>
                </c:pt>
                <c:pt idx="41">
                  <c:v>178.53448275862144</c:v>
                </c:pt>
                <c:pt idx="42">
                  <c:v>177.6724137931042</c:v>
                </c:pt>
                <c:pt idx="43">
                  <c:v>176.81034482758699</c:v>
                </c:pt>
                <c:pt idx="44">
                  <c:v>175.94827586206975</c:v>
                </c:pt>
                <c:pt idx="45">
                  <c:v>175.08620689655254</c:v>
                </c:pt>
                <c:pt idx="46">
                  <c:v>174.22413793103533</c:v>
                </c:pt>
                <c:pt idx="47">
                  <c:v>173.36206896551809</c:v>
                </c:pt>
                <c:pt idx="48">
                  <c:v>172.50000000000085</c:v>
                </c:pt>
                <c:pt idx="49">
                  <c:v>171.63793103448364</c:v>
                </c:pt>
                <c:pt idx="50">
                  <c:v>170.77586206896643</c:v>
                </c:pt>
                <c:pt idx="51">
                  <c:v>169.91379310344919</c:v>
                </c:pt>
                <c:pt idx="52">
                  <c:v>169.05172413793198</c:v>
                </c:pt>
                <c:pt idx="53">
                  <c:v>168.18965517241475</c:v>
                </c:pt>
                <c:pt idx="54">
                  <c:v>167.32758620689754</c:v>
                </c:pt>
                <c:pt idx="55">
                  <c:v>166.46551724138033</c:v>
                </c:pt>
                <c:pt idx="56">
                  <c:v>165.60344827586309</c:v>
                </c:pt>
                <c:pt idx="57">
                  <c:v>164.74137931034588</c:v>
                </c:pt>
                <c:pt idx="58">
                  <c:v>163.87931034482864</c:v>
                </c:pt>
                <c:pt idx="59">
                  <c:v>163.01724137931143</c:v>
                </c:pt>
                <c:pt idx="60">
                  <c:v>162.15517241379419</c:v>
                </c:pt>
                <c:pt idx="61">
                  <c:v>161.29310344827698</c:v>
                </c:pt>
                <c:pt idx="62">
                  <c:v>160.43103448275974</c:v>
                </c:pt>
                <c:pt idx="63">
                  <c:v>158.75000000000333</c:v>
                </c:pt>
                <c:pt idx="64">
                  <c:v>156.25000000000338</c:v>
                </c:pt>
                <c:pt idx="65">
                  <c:v>153.75000000000344</c:v>
                </c:pt>
                <c:pt idx="66">
                  <c:v>151.2500000000035</c:v>
                </c:pt>
                <c:pt idx="67">
                  <c:v>148.00000000000568</c:v>
                </c:pt>
                <c:pt idx="68">
                  <c:v>144.00000000000577</c:v>
                </c:pt>
                <c:pt idx="69">
                  <c:v>138.66666666667643</c:v>
                </c:pt>
                <c:pt idx="70">
                  <c:v>132.00000000000992</c:v>
                </c:pt>
                <c:pt idx="71">
                  <c:v>125.33333333334338</c:v>
                </c:pt>
                <c:pt idx="72">
                  <c:v>118.66666666667686</c:v>
                </c:pt>
                <c:pt idx="73">
                  <c:v>112.00000000001033</c:v>
                </c:pt>
                <c:pt idx="74">
                  <c:v>105.3333333333438</c:v>
                </c:pt>
                <c:pt idx="75">
                  <c:v>98.666666666677287</c:v>
                </c:pt>
                <c:pt idx="76">
                  <c:v>92.000000000010758</c:v>
                </c:pt>
                <c:pt idx="77">
                  <c:v>85.333333333344228</c:v>
                </c:pt>
                <c:pt idx="78">
                  <c:v>78.666666666677713</c:v>
                </c:pt>
                <c:pt idx="79">
                  <c:v>72.000000000011184</c:v>
                </c:pt>
                <c:pt idx="80">
                  <c:v>65.333333333344655</c:v>
                </c:pt>
                <c:pt idx="81">
                  <c:v>60.250000000006018</c:v>
                </c:pt>
                <c:pt idx="82">
                  <c:v>56.750000000006082</c:v>
                </c:pt>
                <c:pt idx="83">
                  <c:v>53.250000000006153</c:v>
                </c:pt>
                <c:pt idx="84">
                  <c:v>49.750000000006224</c:v>
                </c:pt>
                <c:pt idx="85">
                  <c:v>46.250000000006295</c:v>
                </c:pt>
                <c:pt idx="86">
                  <c:v>42.750000000006374</c:v>
                </c:pt>
                <c:pt idx="87">
                  <c:v>39.250000000006452</c:v>
                </c:pt>
                <c:pt idx="88">
                  <c:v>35.750000000006523</c:v>
                </c:pt>
                <c:pt idx="89">
                  <c:v>32.750000000004718</c:v>
                </c:pt>
                <c:pt idx="90">
                  <c:v>30.250000000004775</c:v>
                </c:pt>
                <c:pt idx="91">
                  <c:v>27.750000000004832</c:v>
                </c:pt>
                <c:pt idx="92">
                  <c:v>25.250000000004885</c:v>
                </c:pt>
                <c:pt idx="93">
                  <c:v>22.875000000004444</c:v>
                </c:pt>
                <c:pt idx="94">
                  <c:v>20.625000000004487</c:v>
                </c:pt>
                <c:pt idx="95">
                  <c:v>18.37500000000453</c:v>
                </c:pt>
                <c:pt idx="96">
                  <c:v>16.125000000004576</c:v>
                </c:pt>
                <c:pt idx="97">
                  <c:v>14.375000000002567</c:v>
                </c:pt>
                <c:pt idx="98">
                  <c:v>13.125000000002595</c:v>
                </c:pt>
                <c:pt idx="99">
                  <c:v>11.875000000002622</c:v>
                </c:pt>
                <c:pt idx="100">
                  <c:v>10.62500000000265</c:v>
                </c:pt>
                <c:pt idx="101">
                  <c:v>9.3750000000026787</c:v>
                </c:pt>
                <c:pt idx="102">
                  <c:v>8.1250000000027072</c:v>
                </c:pt>
                <c:pt idx="103">
                  <c:v>6.8750000000027338</c:v>
                </c:pt>
                <c:pt idx="104">
                  <c:v>5.6250000000027613</c:v>
                </c:pt>
                <c:pt idx="105">
                  <c:v>4.3750000000027898</c:v>
                </c:pt>
                <c:pt idx="106">
                  <c:v>3.1250000000028173</c:v>
                </c:pt>
                <c:pt idx="107">
                  <c:v>1.8750000000028457</c:v>
                </c:pt>
                <c:pt idx="108">
                  <c:v>0.62500000000287237</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Calculs!$T$4:$T$1004</c:f>
              <c:numCache>
                <c:formatCode>0.00</c:formatCode>
                <c:ptCount val="1001"/>
                <c:pt idx="0">
                  <c:v>29.968569000000002</c:v>
                </c:pt>
                <c:pt idx="1">
                  <c:v>29.965314840353834</c:v>
                </c:pt>
                <c:pt idx="2">
                  <c:v>29.955552361415332</c:v>
                </c:pt>
                <c:pt idx="3">
                  <c:v>29.94305638837405</c:v>
                </c:pt>
                <c:pt idx="4">
                  <c:v>29.931601746419545</c:v>
                </c:pt>
                <c:pt idx="5">
                  <c:v>29.920690212488743</c:v>
                </c:pt>
                <c:pt idx="6">
                  <c:v>29.909823563518575</c:v>
                </c:pt>
                <c:pt idx="7">
                  <c:v>29.899001799509048</c:v>
                </c:pt>
                <c:pt idx="8">
                  <c:v>29.888224920460154</c:v>
                </c:pt>
                <c:pt idx="9">
                  <c:v>29.8774929263719</c:v>
                </c:pt>
                <c:pt idx="10">
                  <c:v>29.866805817244277</c:v>
                </c:pt>
                <c:pt idx="11">
                  <c:v>29.856163593077298</c:v>
                </c:pt>
                <c:pt idx="12">
                  <c:v>29.845566253870953</c:v>
                </c:pt>
                <c:pt idx="13">
                  <c:v>29.835013799625244</c:v>
                </c:pt>
                <c:pt idx="14">
                  <c:v>29.82450623034017</c:v>
                </c:pt>
                <c:pt idx="15">
                  <c:v>29.814043546015736</c:v>
                </c:pt>
                <c:pt idx="16">
                  <c:v>29.803625746651935</c:v>
                </c:pt>
                <c:pt idx="17">
                  <c:v>29.793252832248776</c:v>
                </c:pt>
                <c:pt idx="18">
                  <c:v>29.782924802806249</c:v>
                </c:pt>
                <c:pt idx="19">
                  <c:v>29.772641658324364</c:v>
                </c:pt>
                <c:pt idx="20">
                  <c:v>29.762403398803109</c:v>
                </c:pt>
                <c:pt idx="21">
                  <c:v>29.752210024242498</c:v>
                </c:pt>
                <c:pt idx="22">
                  <c:v>29.742061534642524</c:v>
                </c:pt>
                <c:pt idx="23">
                  <c:v>29.731957930003183</c:v>
                </c:pt>
                <c:pt idx="24">
                  <c:v>29.72189921032448</c:v>
                </c:pt>
                <c:pt idx="25">
                  <c:v>29.711885375606414</c:v>
                </c:pt>
                <c:pt idx="26">
                  <c:v>29.701916425848989</c:v>
                </c:pt>
                <c:pt idx="27">
                  <c:v>29.691992361052193</c:v>
                </c:pt>
                <c:pt idx="28">
                  <c:v>29.682113181216039</c:v>
                </c:pt>
                <c:pt idx="29">
                  <c:v>29.672278886340521</c:v>
                </c:pt>
                <c:pt idx="30">
                  <c:v>29.662489476425641</c:v>
                </c:pt>
                <c:pt idx="31">
                  <c:v>29.652744951471394</c:v>
                </c:pt>
                <c:pt idx="32">
                  <c:v>29.643045311477788</c:v>
                </c:pt>
                <c:pt idx="33">
                  <c:v>29.633390556444816</c:v>
                </c:pt>
                <c:pt idx="34">
                  <c:v>29.623780686372481</c:v>
                </c:pt>
                <c:pt idx="35">
                  <c:v>29.614215701260783</c:v>
                </c:pt>
                <c:pt idx="36">
                  <c:v>29.604695601109722</c:v>
                </c:pt>
                <c:pt idx="37">
                  <c:v>29.595220385919298</c:v>
                </c:pt>
                <c:pt idx="38">
                  <c:v>29.585790055689511</c:v>
                </c:pt>
                <c:pt idx="39">
                  <c:v>29.576404610420358</c:v>
                </c:pt>
                <c:pt idx="40">
                  <c:v>29.567064050111846</c:v>
                </c:pt>
                <c:pt idx="41">
                  <c:v>29.557768374763967</c:v>
                </c:pt>
                <c:pt idx="42">
                  <c:v>29.548517584376729</c:v>
                </c:pt>
                <c:pt idx="43">
                  <c:v>29.539311678950124</c:v>
                </c:pt>
                <c:pt idx="44">
                  <c:v>29.530150658484157</c:v>
                </c:pt>
                <c:pt idx="45">
                  <c:v>29.521034522978827</c:v>
                </c:pt>
                <c:pt idx="46">
                  <c:v>29.511963272434134</c:v>
                </c:pt>
                <c:pt idx="47">
                  <c:v>29.502936906850074</c:v>
                </c:pt>
                <c:pt idx="48">
                  <c:v>29.493955426226655</c:v>
                </c:pt>
                <c:pt idx="49">
                  <c:v>29.485018830563874</c:v>
                </c:pt>
                <c:pt idx="50">
                  <c:v>29.476127119861726</c:v>
                </c:pt>
                <c:pt idx="51">
                  <c:v>29.467280294120215</c:v>
                </c:pt>
                <c:pt idx="52">
                  <c:v>29.458478353339345</c:v>
                </c:pt>
                <c:pt idx="53">
                  <c:v>29.449721297519108</c:v>
                </c:pt>
                <c:pt idx="54">
                  <c:v>29.441009126659509</c:v>
                </c:pt>
                <c:pt idx="55">
                  <c:v>29.432341840760547</c:v>
                </c:pt>
                <c:pt idx="56">
                  <c:v>29.423719439822221</c:v>
                </c:pt>
                <c:pt idx="57">
                  <c:v>29.41514192384453</c:v>
                </c:pt>
                <c:pt idx="58">
                  <c:v>29.406609292827479</c:v>
                </c:pt>
                <c:pt idx="59">
                  <c:v>29.398121546771062</c:v>
                </c:pt>
                <c:pt idx="60">
                  <c:v>29.389678685675285</c:v>
                </c:pt>
                <c:pt idx="61">
                  <c:v>29.381280709540142</c:v>
                </c:pt>
                <c:pt idx="62">
                  <c:v>29.372927618365637</c:v>
                </c:pt>
                <c:pt idx="63">
                  <c:v>29.364662052864375</c:v>
                </c:pt>
                <c:pt idx="64">
                  <c:v>29.356526653748958</c:v>
                </c:pt>
                <c:pt idx="65">
                  <c:v>29.348521421019388</c:v>
                </c:pt>
                <c:pt idx="66">
                  <c:v>29.340646354675663</c:v>
                </c:pt>
                <c:pt idx="67">
                  <c:v>29.332940504633537</c:v>
                </c:pt>
                <c:pt idx="68">
                  <c:v>29.325442920808769</c:v>
                </c:pt>
                <c:pt idx="69">
                  <c:v>29.318223025273806</c:v>
                </c:pt>
                <c:pt idx="70">
                  <c:v>29.311350240101103</c:v>
                </c:pt>
                <c:pt idx="71">
                  <c:v>29.304824565290655</c:v>
                </c:pt>
                <c:pt idx="72">
                  <c:v>29.298646000842464</c:v>
                </c:pt>
                <c:pt idx="73">
                  <c:v>29.292814546756532</c:v>
                </c:pt>
                <c:pt idx="74">
                  <c:v>29.287330203032859</c:v>
                </c:pt>
                <c:pt idx="75">
                  <c:v>29.282192969671442</c:v>
                </c:pt>
                <c:pt idx="76">
                  <c:v>29.277402846672281</c:v>
                </c:pt>
                <c:pt idx="77">
                  <c:v>29.27295983403538</c:v>
                </c:pt>
                <c:pt idx="78">
                  <c:v>29.268863931760738</c:v>
                </c:pt>
                <c:pt idx="79">
                  <c:v>29.265115139848351</c:v>
                </c:pt>
                <c:pt idx="80">
                  <c:v>29.261713458298221</c:v>
                </c:pt>
                <c:pt idx="81">
                  <c:v>29.258576448399314</c:v>
                </c:pt>
                <c:pt idx="82">
                  <c:v>29.255621671440593</c:v>
                </c:pt>
                <c:pt idx="83">
                  <c:v>29.25284912742206</c:v>
                </c:pt>
                <c:pt idx="84">
                  <c:v>29.25025881634371</c:v>
                </c:pt>
                <c:pt idx="85">
                  <c:v>29.24785073820555</c:v>
                </c:pt>
                <c:pt idx="86">
                  <c:v>29.24562489300757</c:v>
                </c:pt>
                <c:pt idx="87">
                  <c:v>29.243581280749776</c:v>
                </c:pt>
                <c:pt idx="88">
                  <c:v>29.24171990143217</c:v>
                </c:pt>
                <c:pt idx="89">
                  <c:v>29.240014721777577</c:v>
                </c:pt>
                <c:pt idx="90">
                  <c:v>29.238439708508832</c:v>
                </c:pt>
                <c:pt idx="91">
                  <c:v>29.236994861625934</c:v>
                </c:pt>
                <c:pt idx="92">
                  <c:v>29.235680181128881</c:v>
                </c:pt>
                <c:pt idx="93">
                  <c:v>29.234489158698384</c:v>
                </c:pt>
                <c:pt idx="94">
                  <c:v>29.233415286015152</c:v>
                </c:pt>
                <c:pt idx="95">
                  <c:v>29.232458563079181</c:v>
                </c:pt>
                <c:pt idx="96">
                  <c:v>29.231618989890467</c:v>
                </c:pt>
                <c:pt idx="97">
                  <c:v>29.230870533171853</c:v>
                </c:pt>
                <c:pt idx="98">
                  <c:v>29.230187159646157</c:v>
                </c:pt>
                <c:pt idx="99">
                  <c:v>29.229568869313383</c:v>
                </c:pt>
                <c:pt idx="100">
                  <c:v>29.229015662173538</c:v>
                </c:pt>
                <c:pt idx="101">
                  <c:v>29.228527538226611</c:v>
                </c:pt>
                <c:pt idx="102">
                  <c:v>29.228104497472611</c:v>
                </c:pt>
                <c:pt idx="103">
                  <c:v>29.227746539911529</c:v>
                </c:pt>
                <c:pt idx="104">
                  <c:v>29.227453665543372</c:v>
                </c:pt>
                <c:pt idx="105">
                  <c:v>29.227225874368141</c:v>
                </c:pt>
                <c:pt idx="106">
                  <c:v>29.227063166385832</c:v>
                </c:pt>
                <c:pt idx="107">
                  <c:v>29.226965541596446</c:v>
                </c:pt>
                <c:pt idx="108">
                  <c:v>29.226932999999988</c:v>
                </c:pt>
                <c:pt idx="109">
                  <c:v>29.226932999999988</c:v>
                </c:pt>
                <c:pt idx="110">
                  <c:v>29.226932999999988</c:v>
                </c:pt>
                <c:pt idx="111">
                  <c:v>29.226932999999988</c:v>
                </c:pt>
                <c:pt idx="112">
                  <c:v>29.226932999999988</c:v>
                </c:pt>
                <c:pt idx="113">
                  <c:v>29.226932999999988</c:v>
                </c:pt>
                <c:pt idx="114">
                  <c:v>29.226932999999988</c:v>
                </c:pt>
                <c:pt idx="115">
                  <c:v>29.226932999999988</c:v>
                </c:pt>
                <c:pt idx="116">
                  <c:v>29.226932999999988</c:v>
                </c:pt>
                <c:pt idx="117">
                  <c:v>29.226932999999988</c:v>
                </c:pt>
                <c:pt idx="118">
                  <c:v>29.226932999999988</c:v>
                </c:pt>
                <c:pt idx="119">
                  <c:v>29.226932999999988</c:v>
                </c:pt>
                <c:pt idx="120">
                  <c:v>29.226932999999988</c:v>
                </c:pt>
                <c:pt idx="121">
                  <c:v>29.226932999999988</c:v>
                </c:pt>
                <c:pt idx="122">
                  <c:v>29.226932999999988</c:v>
                </c:pt>
                <c:pt idx="123">
                  <c:v>29.226932999999988</c:v>
                </c:pt>
                <c:pt idx="124">
                  <c:v>29.226932999999988</c:v>
                </c:pt>
                <c:pt idx="125">
                  <c:v>29.226932999999988</c:v>
                </c:pt>
                <c:pt idx="126">
                  <c:v>29.226932999999988</c:v>
                </c:pt>
                <c:pt idx="127">
                  <c:v>29.226932999999988</c:v>
                </c:pt>
                <c:pt idx="128">
                  <c:v>29.226932999999988</c:v>
                </c:pt>
                <c:pt idx="129">
                  <c:v>29.226932999999988</c:v>
                </c:pt>
                <c:pt idx="130">
                  <c:v>29.226932999999988</c:v>
                </c:pt>
                <c:pt idx="131">
                  <c:v>29.226932999999988</c:v>
                </c:pt>
                <c:pt idx="132">
                  <c:v>29.226932999999988</c:v>
                </c:pt>
                <c:pt idx="133">
                  <c:v>29.226932999999988</c:v>
                </c:pt>
                <c:pt idx="134">
                  <c:v>29.226932999999988</c:v>
                </c:pt>
                <c:pt idx="135">
                  <c:v>29.226932999999988</c:v>
                </c:pt>
                <c:pt idx="136">
                  <c:v>29.226932999999988</c:v>
                </c:pt>
                <c:pt idx="137">
                  <c:v>29.226932999999988</c:v>
                </c:pt>
                <c:pt idx="138">
                  <c:v>29.226932999999988</c:v>
                </c:pt>
                <c:pt idx="139">
                  <c:v>29.226932999999988</c:v>
                </c:pt>
                <c:pt idx="140">
                  <c:v>29.226932999999988</c:v>
                </c:pt>
                <c:pt idx="141">
                  <c:v>29.226932999999988</c:v>
                </c:pt>
                <c:pt idx="142">
                  <c:v>29.226932999999988</c:v>
                </c:pt>
                <c:pt idx="143">
                  <c:v>29.226932999999988</c:v>
                </c:pt>
                <c:pt idx="144">
                  <c:v>29.226932999999988</c:v>
                </c:pt>
                <c:pt idx="145">
                  <c:v>29.226932999999988</c:v>
                </c:pt>
                <c:pt idx="146">
                  <c:v>29.226932999999988</c:v>
                </c:pt>
                <c:pt idx="147">
                  <c:v>29.226932999999988</c:v>
                </c:pt>
                <c:pt idx="148">
                  <c:v>29.226932999999988</c:v>
                </c:pt>
                <c:pt idx="149">
                  <c:v>29.226932999999988</c:v>
                </c:pt>
                <c:pt idx="150">
                  <c:v>29.226932999999988</c:v>
                </c:pt>
                <c:pt idx="151">
                  <c:v>29.226932999999988</c:v>
                </c:pt>
                <c:pt idx="152">
                  <c:v>29.226932999999988</c:v>
                </c:pt>
                <c:pt idx="153">
                  <c:v>29.226932999999988</c:v>
                </c:pt>
                <c:pt idx="154">
                  <c:v>29.226932999999988</c:v>
                </c:pt>
                <c:pt idx="155">
                  <c:v>29.226932999999988</c:v>
                </c:pt>
                <c:pt idx="156">
                  <c:v>29.226932999999988</c:v>
                </c:pt>
                <c:pt idx="157">
                  <c:v>29.226932999999988</c:v>
                </c:pt>
                <c:pt idx="158">
                  <c:v>29.226932999999988</c:v>
                </c:pt>
                <c:pt idx="159">
                  <c:v>29.226932999999988</c:v>
                </c:pt>
                <c:pt idx="160">
                  <c:v>29.226932999999988</c:v>
                </c:pt>
                <c:pt idx="161">
                  <c:v>29.226932999999988</c:v>
                </c:pt>
                <c:pt idx="162">
                  <c:v>29.226932999999988</c:v>
                </c:pt>
                <c:pt idx="163">
                  <c:v>29.226932999999988</c:v>
                </c:pt>
                <c:pt idx="164">
                  <c:v>29.226932999999988</c:v>
                </c:pt>
                <c:pt idx="165">
                  <c:v>29.226932999999988</c:v>
                </c:pt>
                <c:pt idx="166">
                  <c:v>29.226932999999988</c:v>
                </c:pt>
                <c:pt idx="167">
                  <c:v>29.226932999999988</c:v>
                </c:pt>
                <c:pt idx="168">
                  <c:v>29.226932999999988</c:v>
                </c:pt>
                <c:pt idx="169">
                  <c:v>29.226932999999988</c:v>
                </c:pt>
                <c:pt idx="170">
                  <c:v>29.226932999999988</c:v>
                </c:pt>
                <c:pt idx="171">
                  <c:v>29.226932999999988</c:v>
                </c:pt>
                <c:pt idx="172">
                  <c:v>29.226932999999988</c:v>
                </c:pt>
                <c:pt idx="173">
                  <c:v>29.226932999999988</c:v>
                </c:pt>
                <c:pt idx="174">
                  <c:v>29.226932999999988</c:v>
                </c:pt>
                <c:pt idx="175">
                  <c:v>29.226932999999988</c:v>
                </c:pt>
                <c:pt idx="176">
                  <c:v>29.226932999999988</c:v>
                </c:pt>
                <c:pt idx="177">
                  <c:v>29.226932999999988</c:v>
                </c:pt>
                <c:pt idx="178">
                  <c:v>29.226932999999988</c:v>
                </c:pt>
                <c:pt idx="179">
                  <c:v>29.226932999999988</c:v>
                </c:pt>
                <c:pt idx="180">
                  <c:v>29.226932999999988</c:v>
                </c:pt>
                <c:pt idx="181">
                  <c:v>29.226932999999988</c:v>
                </c:pt>
                <c:pt idx="182">
                  <c:v>29.226932999999988</c:v>
                </c:pt>
                <c:pt idx="183">
                  <c:v>29.226932999999988</c:v>
                </c:pt>
                <c:pt idx="184">
                  <c:v>29.226932999999988</c:v>
                </c:pt>
                <c:pt idx="185">
                  <c:v>29.226932999999988</c:v>
                </c:pt>
                <c:pt idx="186">
                  <c:v>29.226932999999988</c:v>
                </c:pt>
                <c:pt idx="187">
                  <c:v>29.226932999999988</c:v>
                </c:pt>
                <c:pt idx="188">
                  <c:v>29.226932999999988</c:v>
                </c:pt>
                <c:pt idx="189">
                  <c:v>29.226932999999988</c:v>
                </c:pt>
                <c:pt idx="190">
                  <c:v>29.226932999999988</c:v>
                </c:pt>
                <c:pt idx="191">
                  <c:v>29.226932999999988</c:v>
                </c:pt>
                <c:pt idx="192">
                  <c:v>29.226932999999988</c:v>
                </c:pt>
                <c:pt idx="193">
                  <c:v>29.226932999999988</c:v>
                </c:pt>
                <c:pt idx="194">
                  <c:v>29.226932999999988</c:v>
                </c:pt>
                <c:pt idx="195">
                  <c:v>29.226932999999988</c:v>
                </c:pt>
                <c:pt idx="196">
                  <c:v>29.226932999999988</c:v>
                </c:pt>
                <c:pt idx="197">
                  <c:v>29.226932999999988</c:v>
                </c:pt>
                <c:pt idx="198">
                  <c:v>29.226932999999988</c:v>
                </c:pt>
                <c:pt idx="199">
                  <c:v>29.226932999999988</c:v>
                </c:pt>
                <c:pt idx="200">
                  <c:v>29.226932999999988</c:v>
                </c:pt>
                <c:pt idx="201">
                  <c:v>29.226932999999988</c:v>
                </c:pt>
                <c:pt idx="202">
                  <c:v>29.226932999999988</c:v>
                </c:pt>
                <c:pt idx="203">
                  <c:v>29.226932999999988</c:v>
                </c:pt>
                <c:pt idx="204">
                  <c:v>29.226932999999988</c:v>
                </c:pt>
                <c:pt idx="205">
                  <c:v>29.226932999999988</c:v>
                </c:pt>
                <c:pt idx="206">
                  <c:v>29.226932999999988</c:v>
                </c:pt>
                <c:pt idx="207">
                  <c:v>29.226932999999988</c:v>
                </c:pt>
                <c:pt idx="208">
                  <c:v>29.226932999999988</c:v>
                </c:pt>
                <c:pt idx="209">
                  <c:v>29.226932999999988</c:v>
                </c:pt>
                <c:pt idx="210">
                  <c:v>29.226932999999988</c:v>
                </c:pt>
                <c:pt idx="211">
                  <c:v>29.226932999999988</c:v>
                </c:pt>
                <c:pt idx="212">
                  <c:v>29.226932999999988</c:v>
                </c:pt>
                <c:pt idx="213">
                  <c:v>29.226932999999988</c:v>
                </c:pt>
                <c:pt idx="214">
                  <c:v>29.226932999999988</c:v>
                </c:pt>
                <c:pt idx="215">
                  <c:v>29.226932999999988</c:v>
                </c:pt>
                <c:pt idx="216">
                  <c:v>29.226932999999988</c:v>
                </c:pt>
                <c:pt idx="217">
                  <c:v>29.226932999999988</c:v>
                </c:pt>
                <c:pt idx="218">
                  <c:v>29.226932999999988</c:v>
                </c:pt>
                <c:pt idx="219">
                  <c:v>29.226932999999988</c:v>
                </c:pt>
                <c:pt idx="220">
                  <c:v>29.226932999999988</c:v>
                </c:pt>
                <c:pt idx="221">
                  <c:v>29.226932999999988</c:v>
                </c:pt>
                <c:pt idx="222">
                  <c:v>29.226932999999988</c:v>
                </c:pt>
                <c:pt idx="223">
                  <c:v>29.226932999999988</c:v>
                </c:pt>
                <c:pt idx="224">
                  <c:v>29.226932999999988</c:v>
                </c:pt>
                <c:pt idx="225">
                  <c:v>29.226932999999988</c:v>
                </c:pt>
                <c:pt idx="226">
                  <c:v>29.226932999999988</c:v>
                </c:pt>
                <c:pt idx="227">
                  <c:v>29.226932999999988</c:v>
                </c:pt>
                <c:pt idx="228">
                  <c:v>29.226932999999988</c:v>
                </c:pt>
                <c:pt idx="229">
                  <c:v>29.226932999999988</c:v>
                </c:pt>
                <c:pt idx="230">
                  <c:v>29.226932999999988</c:v>
                </c:pt>
                <c:pt idx="231">
                  <c:v>29.226932999999988</c:v>
                </c:pt>
                <c:pt idx="232">
                  <c:v>29.226932999999988</c:v>
                </c:pt>
                <c:pt idx="233">
                  <c:v>29.226932999999988</c:v>
                </c:pt>
                <c:pt idx="234">
                  <c:v>29.226932999999988</c:v>
                </c:pt>
                <c:pt idx="235">
                  <c:v>29.226932999999988</c:v>
                </c:pt>
                <c:pt idx="236">
                  <c:v>29.226932999999988</c:v>
                </c:pt>
                <c:pt idx="237">
                  <c:v>29.226932999999988</c:v>
                </c:pt>
                <c:pt idx="238">
                  <c:v>29.226932999999988</c:v>
                </c:pt>
                <c:pt idx="239">
                  <c:v>29.226932999999988</c:v>
                </c:pt>
                <c:pt idx="240">
                  <c:v>29.226932999999988</c:v>
                </c:pt>
                <c:pt idx="241">
                  <c:v>29.226932999999988</c:v>
                </c:pt>
                <c:pt idx="242">
                  <c:v>29.226932999999988</c:v>
                </c:pt>
                <c:pt idx="243">
                  <c:v>29.226932999999988</c:v>
                </c:pt>
                <c:pt idx="244">
                  <c:v>29.226932999999988</c:v>
                </c:pt>
                <c:pt idx="245">
                  <c:v>29.226932999999988</c:v>
                </c:pt>
                <c:pt idx="246">
                  <c:v>29.226932999999988</c:v>
                </c:pt>
                <c:pt idx="247">
                  <c:v>29.226932999999988</c:v>
                </c:pt>
                <c:pt idx="248">
                  <c:v>29.226932999999988</c:v>
                </c:pt>
                <c:pt idx="249">
                  <c:v>29.226932999999988</c:v>
                </c:pt>
                <c:pt idx="250">
                  <c:v>29.226932999999988</c:v>
                </c:pt>
                <c:pt idx="251">
                  <c:v>29.226932999999988</c:v>
                </c:pt>
                <c:pt idx="252">
                  <c:v>29.226932999999988</c:v>
                </c:pt>
                <c:pt idx="253">
                  <c:v>29.226932999999988</c:v>
                </c:pt>
                <c:pt idx="254">
                  <c:v>29.226932999999988</c:v>
                </c:pt>
                <c:pt idx="255">
                  <c:v>29.226932999999988</c:v>
                </c:pt>
                <c:pt idx="256">
                  <c:v>29.226932999999988</c:v>
                </c:pt>
                <c:pt idx="257">
                  <c:v>29.226932999999988</c:v>
                </c:pt>
                <c:pt idx="258">
                  <c:v>29.226932999999988</c:v>
                </c:pt>
                <c:pt idx="259">
                  <c:v>29.226932999999988</c:v>
                </c:pt>
                <c:pt idx="260">
                  <c:v>29.226932999999988</c:v>
                </c:pt>
                <c:pt idx="261">
                  <c:v>29.226932999999988</c:v>
                </c:pt>
                <c:pt idx="262">
                  <c:v>29.226932999999988</c:v>
                </c:pt>
                <c:pt idx="263">
                  <c:v>29.226932999999988</c:v>
                </c:pt>
                <c:pt idx="264">
                  <c:v>29.226932999999988</c:v>
                </c:pt>
                <c:pt idx="265">
                  <c:v>29.226932999999988</c:v>
                </c:pt>
                <c:pt idx="266">
                  <c:v>29.226932999999988</c:v>
                </c:pt>
                <c:pt idx="267">
                  <c:v>29.226932999999988</c:v>
                </c:pt>
                <c:pt idx="268">
                  <c:v>29.226932999999988</c:v>
                </c:pt>
                <c:pt idx="269">
                  <c:v>29.226932999999988</c:v>
                </c:pt>
                <c:pt idx="270">
                  <c:v>29.226932999999988</c:v>
                </c:pt>
                <c:pt idx="271">
                  <c:v>29.226932999999988</c:v>
                </c:pt>
                <c:pt idx="272">
                  <c:v>29.226932999999988</c:v>
                </c:pt>
                <c:pt idx="273">
                  <c:v>29.226932999999988</c:v>
                </c:pt>
                <c:pt idx="274">
                  <c:v>29.226932999999988</c:v>
                </c:pt>
                <c:pt idx="275">
                  <c:v>29.226932999999988</c:v>
                </c:pt>
                <c:pt idx="276">
                  <c:v>29.226932999999988</c:v>
                </c:pt>
                <c:pt idx="277">
                  <c:v>29.226932999999988</c:v>
                </c:pt>
                <c:pt idx="278">
                  <c:v>29.226932999999988</c:v>
                </c:pt>
                <c:pt idx="279">
                  <c:v>29.226932999999988</c:v>
                </c:pt>
                <c:pt idx="280">
                  <c:v>29.226932999999988</c:v>
                </c:pt>
                <c:pt idx="281">
                  <c:v>29.226932999999988</c:v>
                </c:pt>
                <c:pt idx="282">
                  <c:v>29.226932999999988</c:v>
                </c:pt>
                <c:pt idx="283">
                  <c:v>29.226932999999988</c:v>
                </c:pt>
                <c:pt idx="284">
                  <c:v>29.226932999999988</c:v>
                </c:pt>
                <c:pt idx="285">
                  <c:v>29.226932999999988</c:v>
                </c:pt>
                <c:pt idx="286">
                  <c:v>29.226932999999988</c:v>
                </c:pt>
                <c:pt idx="287">
                  <c:v>29.226932999999988</c:v>
                </c:pt>
                <c:pt idx="288">
                  <c:v>29.226932999999988</c:v>
                </c:pt>
                <c:pt idx="289">
                  <c:v>29.226932999999988</c:v>
                </c:pt>
                <c:pt idx="290">
                  <c:v>29.226932999999988</c:v>
                </c:pt>
                <c:pt idx="291">
                  <c:v>29.226932999999988</c:v>
                </c:pt>
                <c:pt idx="292">
                  <c:v>29.226932999999988</c:v>
                </c:pt>
                <c:pt idx="293">
                  <c:v>29.226932999999988</c:v>
                </c:pt>
                <c:pt idx="294">
                  <c:v>29.226932999999988</c:v>
                </c:pt>
                <c:pt idx="295">
                  <c:v>29.226932999999988</c:v>
                </c:pt>
                <c:pt idx="296">
                  <c:v>29.226932999999988</c:v>
                </c:pt>
                <c:pt idx="297">
                  <c:v>29.226932999999988</c:v>
                </c:pt>
                <c:pt idx="298">
                  <c:v>29.226932999999988</c:v>
                </c:pt>
                <c:pt idx="299">
                  <c:v>29.226932999999988</c:v>
                </c:pt>
                <c:pt idx="300">
                  <c:v>29.226932999999988</c:v>
                </c:pt>
                <c:pt idx="301">
                  <c:v>29.226932999999988</c:v>
                </c:pt>
                <c:pt idx="302">
                  <c:v>29.226932999999988</c:v>
                </c:pt>
                <c:pt idx="303">
                  <c:v>29.226932999999988</c:v>
                </c:pt>
                <c:pt idx="304">
                  <c:v>29.226932999999988</c:v>
                </c:pt>
                <c:pt idx="305">
                  <c:v>29.226932999999988</c:v>
                </c:pt>
                <c:pt idx="306">
                  <c:v>29.226932999999988</c:v>
                </c:pt>
                <c:pt idx="307">
                  <c:v>29.226932999999988</c:v>
                </c:pt>
                <c:pt idx="308">
                  <c:v>29.226932999999988</c:v>
                </c:pt>
                <c:pt idx="309">
                  <c:v>29.226932999999988</c:v>
                </c:pt>
                <c:pt idx="310">
                  <c:v>29.226932999999988</c:v>
                </c:pt>
                <c:pt idx="311">
                  <c:v>29.226932999999988</c:v>
                </c:pt>
                <c:pt idx="312">
                  <c:v>29.226932999999988</c:v>
                </c:pt>
                <c:pt idx="313">
                  <c:v>29.226932999999988</c:v>
                </c:pt>
                <c:pt idx="314">
                  <c:v>29.226932999999988</c:v>
                </c:pt>
                <c:pt idx="315">
                  <c:v>29.226932999999988</c:v>
                </c:pt>
                <c:pt idx="316">
                  <c:v>29.226932999999988</c:v>
                </c:pt>
                <c:pt idx="317">
                  <c:v>29.226932999999988</c:v>
                </c:pt>
                <c:pt idx="318">
                  <c:v>29.226932999999988</c:v>
                </c:pt>
                <c:pt idx="319">
                  <c:v>29.226932999999988</c:v>
                </c:pt>
                <c:pt idx="320">
                  <c:v>29.226932999999988</c:v>
                </c:pt>
                <c:pt idx="321">
                  <c:v>29.226932999999988</c:v>
                </c:pt>
                <c:pt idx="322">
                  <c:v>29.226932999999988</c:v>
                </c:pt>
                <c:pt idx="323">
                  <c:v>29.226932999999988</c:v>
                </c:pt>
                <c:pt idx="324">
                  <c:v>29.226932999999988</c:v>
                </c:pt>
                <c:pt idx="325">
                  <c:v>29.226932999999988</c:v>
                </c:pt>
                <c:pt idx="326">
                  <c:v>29.226932999999988</c:v>
                </c:pt>
                <c:pt idx="327">
                  <c:v>29.226932999999988</c:v>
                </c:pt>
                <c:pt idx="328">
                  <c:v>29.226932999999988</c:v>
                </c:pt>
                <c:pt idx="329">
                  <c:v>29.226932999999988</c:v>
                </c:pt>
                <c:pt idx="330">
                  <c:v>29.226932999999988</c:v>
                </c:pt>
                <c:pt idx="331">
                  <c:v>29.226932999999988</c:v>
                </c:pt>
                <c:pt idx="332">
                  <c:v>29.226932999999988</c:v>
                </c:pt>
                <c:pt idx="333">
                  <c:v>29.226932999999988</c:v>
                </c:pt>
                <c:pt idx="334">
                  <c:v>29.226932999999988</c:v>
                </c:pt>
                <c:pt idx="335">
                  <c:v>29.226932999999988</c:v>
                </c:pt>
                <c:pt idx="336">
                  <c:v>29.226932999999988</c:v>
                </c:pt>
                <c:pt idx="337">
                  <c:v>29.226932999999988</c:v>
                </c:pt>
                <c:pt idx="338">
                  <c:v>29.226932999999988</c:v>
                </c:pt>
                <c:pt idx="339">
                  <c:v>29.226932999999988</c:v>
                </c:pt>
                <c:pt idx="340">
                  <c:v>29.226932999999988</c:v>
                </c:pt>
                <c:pt idx="341">
                  <c:v>29.226932999999988</c:v>
                </c:pt>
                <c:pt idx="342">
                  <c:v>29.226932999999988</c:v>
                </c:pt>
                <c:pt idx="343">
                  <c:v>29.226932999999988</c:v>
                </c:pt>
                <c:pt idx="344">
                  <c:v>29.226932999999988</c:v>
                </c:pt>
                <c:pt idx="345">
                  <c:v>29.226932999999988</c:v>
                </c:pt>
                <c:pt idx="346">
                  <c:v>29.226932999999988</c:v>
                </c:pt>
                <c:pt idx="347">
                  <c:v>29.226932999999988</c:v>
                </c:pt>
                <c:pt idx="348">
                  <c:v>29.226932999999988</c:v>
                </c:pt>
                <c:pt idx="349">
                  <c:v>29.226932999999988</c:v>
                </c:pt>
                <c:pt idx="350">
                  <c:v>29.226932999999988</c:v>
                </c:pt>
                <c:pt idx="351">
                  <c:v>29.226932999999988</c:v>
                </c:pt>
                <c:pt idx="352">
                  <c:v>29.226932999999988</c:v>
                </c:pt>
                <c:pt idx="353">
                  <c:v>29.226932999999988</c:v>
                </c:pt>
                <c:pt idx="354">
                  <c:v>29.226932999999988</c:v>
                </c:pt>
                <c:pt idx="355">
                  <c:v>29.226932999999988</c:v>
                </c:pt>
                <c:pt idx="356">
                  <c:v>29.226932999999988</c:v>
                </c:pt>
                <c:pt idx="357">
                  <c:v>29.226932999999988</c:v>
                </c:pt>
                <c:pt idx="358">
                  <c:v>29.226932999999988</c:v>
                </c:pt>
                <c:pt idx="359">
                  <c:v>29.226932999999988</c:v>
                </c:pt>
                <c:pt idx="360">
                  <c:v>29.226932999999988</c:v>
                </c:pt>
                <c:pt idx="361">
                  <c:v>29.226932999999988</c:v>
                </c:pt>
                <c:pt idx="362">
                  <c:v>29.226932999999988</c:v>
                </c:pt>
                <c:pt idx="363">
                  <c:v>29.226932999999988</c:v>
                </c:pt>
                <c:pt idx="364">
                  <c:v>29.226932999999988</c:v>
                </c:pt>
                <c:pt idx="365">
                  <c:v>29.226932999999988</c:v>
                </c:pt>
                <c:pt idx="366">
                  <c:v>29.226932999999988</c:v>
                </c:pt>
                <c:pt idx="367">
                  <c:v>29.226932999999988</c:v>
                </c:pt>
                <c:pt idx="368">
                  <c:v>29.226932999999988</c:v>
                </c:pt>
                <c:pt idx="369">
                  <c:v>29.226932999999988</c:v>
                </c:pt>
                <c:pt idx="370">
                  <c:v>29.226932999999988</c:v>
                </c:pt>
                <c:pt idx="371">
                  <c:v>29.226932999999988</c:v>
                </c:pt>
                <c:pt idx="372">
                  <c:v>29.226932999999988</c:v>
                </c:pt>
                <c:pt idx="373">
                  <c:v>29.226932999999988</c:v>
                </c:pt>
                <c:pt idx="374">
                  <c:v>29.226932999999988</c:v>
                </c:pt>
                <c:pt idx="375">
                  <c:v>29.226932999999988</c:v>
                </c:pt>
                <c:pt idx="376">
                  <c:v>29.226932999999988</c:v>
                </c:pt>
                <c:pt idx="377">
                  <c:v>29.226932999999988</c:v>
                </c:pt>
                <c:pt idx="378">
                  <c:v>29.226932999999988</c:v>
                </c:pt>
                <c:pt idx="379">
                  <c:v>29.226932999999988</c:v>
                </c:pt>
                <c:pt idx="380">
                  <c:v>29.226932999999988</c:v>
                </c:pt>
                <c:pt idx="381">
                  <c:v>29.226932999999988</c:v>
                </c:pt>
                <c:pt idx="382">
                  <c:v>29.226932999999988</c:v>
                </c:pt>
                <c:pt idx="383">
                  <c:v>29.226932999999988</c:v>
                </c:pt>
                <c:pt idx="384">
                  <c:v>29.226932999999988</c:v>
                </c:pt>
                <c:pt idx="385">
                  <c:v>29.226932999999988</c:v>
                </c:pt>
                <c:pt idx="386">
                  <c:v>29.226932999999988</c:v>
                </c:pt>
                <c:pt idx="387">
                  <c:v>29.226932999999988</c:v>
                </c:pt>
                <c:pt idx="388">
                  <c:v>29.226932999999988</c:v>
                </c:pt>
                <c:pt idx="389">
                  <c:v>29.226932999999988</c:v>
                </c:pt>
                <c:pt idx="390">
                  <c:v>29.226932999999988</c:v>
                </c:pt>
                <c:pt idx="391">
                  <c:v>29.226932999999988</c:v>
                </c:pt>
                <c:pt idx="392">
                  <c:v>29.226932999999988</c:v>
                </c:pt>
                <c:pt idx="393">
                  <c:v>29.226932999999988</c:v>
                </c:pt>
                <c:pt idx="394">
                  <c:v>29.226932999999988</c:v>
                </c:pt>
                <c:pt idx="395">
                  <c:v>29.226932999999988</c:v>
                </c:pt>
                <c:pt idx="396">
                  <c:v>29.226932999999988</c:v>
                </c:pt>
                <c:pt idx="397">
                  <c:v>29.226932999999988</c:v>
                </c:pt>
                <c:pt idx="398">
                  <c:v>29.226932999999988</c:v>
                </c:pt>
                <c:pt idx="399">
                  <c:v>29.226932999999988</c:v>
                </c:pt>
                <c:pt idx="400">
                  <c:v>29.226932999999988</c:v>
                </c:pt>
                <c:pt idx="401">
                  <c:v>29.226932999999988</c:v>
                </c:pt>
                <c:pt idx="402">
                  <c:v>29.226932999999988</c:v>
                </c:pt>
                <c:pt idx="403">
                  <c:v>29.226932999999988</c:v>
                </c:pt>
                <c:pt idx="404">
                  <c:v>29.226932999999988</c:v>
                </c:pt>
                <c:pt idx="405">
                  <c:v>29.226932999999988</c:v>
                </c:pt>
                <c:pt idx="406">
                  <c:v>29.226932999999988</c:v>
                </c:pt>
                <c:pt idx="407">
                  <c:v>29.226932999999988</c:v>
                </c:pt>
                <c:pt idx="408">
                  <c:v>29.226932999999988</c:v>
                </c:pt>
                <c:pt idx="409">
                  <c:v>29.226932999999988</c:v>
                </c:pt>
                <c:pt idx="410">
                  <c:v>29.226932999999988</c:v>
                </c:pt>
                <c:pt idx="411">
                  <c:v>29.226932999999988</c:v>
                </c:pt>
                <c:pt idx="412">
                  <c:v>29.226932999999988</c:v>
                </c:pt>
                <c:pt idx="413">
                  <c:v>29.226932999999988</c:v>
                </c:pt>
                <c:pt idx="414">
                  <c:v>29.226932999999988</c:v>
                </c:pt>
                <c:pt idx="415">
                  <c:v>29.226932999999988</c:v>
                </c:pt>
                <c:pt idx="416">
                  <c:v>29.226932999999988</c:v>
                </c:pt>
                <c:pt idx="417">
                  <c:v>29.226932999999988</c:v>
                </c:pt>
                <c:pt idx="418">
                  <c:v>29.226932999999988</c:v>
                </c:pt>
                <c:pt idx="419">
                  <c:v>29.226932999999988</c:v>
                </c:pt>
                <c:pt idx="420">
                  <c:v>29.226932999999988</c:v>
                </c:pt>
                <c:pt idx="421">
                  <c:v>29.226932999999988</c:v>
                </c:pt>
                <c:pt idx="422">
                  <c:v>29.226932999999988</c:v>
                </c:pt>
                <c:pt idx="423">
                  <c:v>29.226932999999988</c:v>
                </c:pt>
                <c:pt idx="424">
                  <c:v>29.226932999999988</c:v>
                </c:pt>
                <c:pt idx="425">
                  <c:v>29.226932999999988</c:v>
                </c:pt>
                <c:pt idx="426">
                  <c:v>29.226932999999988</c:v>
                </c:pt>
                <c:pt idx="427">
                  <c:v>29.226932999999988</c:v>
                </c:pt>
                <c:pt idx="428">
                  <c:v>29.226932999999988</c:v>
                </c:pt>
                <c:pt idx="429">
                  <c:v>29.226932999999988</c:v>
                </c:pt>
                <c:pt idx="430">
                  <c:v>29.226932999999988</c:v>
                </c:pt>
                <c:pt idx="431">
                  <c:v>29.226932999999988</c:v>
                </c:pt>
                <c:pt idx="432">
                  <c:v>29.226932999999988</c:v>
                </c:pt>
                <c:pt idx="433">
                  <c:v>29.226932999999988</c:v>
                </c:pt>
                <c:pt idx="434">
                  <c:v>29.226932999999988</c:v>
                </c:pt>
                <c:pt idx="435">
                  <c:v>29.226932999999988</c:v>
                </c:pt>
                <c:pt idx="436">
                  <c:v>29.226932999999988</c:v>
                </c:pt>
                <c:pt idx="437">
                  <c:v>29.226932999999988</c:v>
                </c:pt>
                <c:pt idx="438">
                  <c:v>29.226932999999988</c:v>
                </c:pt>
                <c:pt idx="439">
                  <c:v>29.226932999999988</c:v>
                </c:pt>
                <c:pt idx="440">
                  <c:v>29.226932999999988</c:v>
                </c:pt>
                <c:pt idx="441">
                  <c:v>29.226932999999988</c:v>
                </c:pt>
                <c:pt idx="442">
                  <c:v>29.226932999999988</c:v>
                </c:pt>
                <c:pt idx="443">
                  <c:v>29.226932999999988</c:v>
                </c:pt>
                <c:pt idx="444">
                  <c:v>29.226932999999988</c:v>
                </c:pt>
                <c:pt idx="445">
                  <c:v>29.226932999999988</c:v>
                </c:pt>
                <c:pt idx="446">
                  <c:v>29.226932999999988</c:v>
                </c:pt>
                <c:pt idx="447">
                  <c:v>29.226932999999988</c:v>
                </c:pt>
                <c:pt idx="448">
                  <c:v>29.226932999999988</c:v>
                </c:pt>
                <c:pt idx="449">
                  <c:v>29.226932999999988</c:v>
                </c:pt>
                <c:pt idx="450">
                  <c:v>29.226932999999988</c:v>
                </c:pt>
                <c:pt idx="451">
                  <c:v>29.226932999999988</c:v>
                </c:pt>
                <c:pt idx="452">
                  <c:v>29.226932999999988</c:v>
                </c:pt>
                <c:pt idx="453">
                  <c:v>29.226932999999988</c:v>
                </c:pt>
                <c:pt idx="454">
                  <c:v>29.226932999999988</c:v>
                </c:pt>
                <c:pt idx="455">
                  <c:v>29.226932999999988</c:v>
                </c:pt>
                <c:pt idx="456">
                  <c:v>29.226932999999988</c:v>
                </c:pt>
                <c:pt idx="457">
                  <c:v>29.226932999999988</c:v>
                </c:pt>
                <c:pt idx="458">
                  <c:v>29.226932999999988</c:v>
                </c:pt>
                <c:pt idx="459">
                  <c:v>29.226932999999988</c:v>
                </c:pt>
                <c:pt idx="460">
                  <c:v>29.226932999999988</c:v>
                </c:pt>
                <c:pt idx="461">
                  <c:v>29.226932999999988</c:v>
                </c:pt>
                <c:pt idx="462">
                  <c:v>29.226932999999988</c:v>
                </c:pt>
                <c:pt idx="463">
                  <c:v>29.226932999999988</c:v>
                </c:pt>
                <c:pt idx="464">
                  <c:v>29.226932999999988</c:v>
                </c:pt>
                <c:pt idx="465">
                  <c:v>29.226932999999988</c:v>
                </c:pt>
                <c:pt idx="466">
                  <c:v>29.226932999999988</c:v>
                </c:pt>
                <c:pt idx="467">
                  <c:v>29.226932999999988</c:v>
                </c:pt>
                <c:pt idx="468">
                  <c:v>29.226932999999988</c:v>
                </c:pt>
                <c:pt idx="469">
                  <c:v>29.226932999999988</c:v>
                </c:pt>
                <c:pt idx="470">
                  <c:v>29.226932999999988</c:v>
                </c:pt>
                <c:pt idx="471">
                  <c:v>29.226932999999988</c:v>
                </c:pt>
                <c:pt idx="472">
                  <c:v>29.226932999999988</c:v>
                </c:pt>
                <c:pt idx="473">
                  <c:v>29.226932999999988</c:v>
                </c:pt>
                <c:pt idx="474">
                  <c:v>29.226932999999988</c:v>
                </c:pt>
                <c:pt idx="475">
                  <c:v>29.226932999999988</c:v>
                </c:pt>
                <c:pt idx="476">
                  <c:v>29.226932999999988</c:v>
                </c:pt>
                <c:pt idx="477">
                  <c:v>29.226932999999988</c:v>
                </c:pt>
                <c:pt idx="478">
                  <c:v>29.226932999999988</c:v>
                </c:pt>
                <c:pt idx="479">
                  <c:v>29.226932999999988</c:v>
                </c:pt>
                <c:pt idx="480">
                  <c:v>29.226932999999988</c:v>
                </c:pt>
                <c:pt idx="481">
                  <c:v>29.226932999999988</c:v>
                </c:pt>
                <c:pt idx="482">
                  <c:v>29.226932999999988</c:v>
                </c:pt>
                <c:pt idx="483">
                  <c:v>29.226932999999988</c:v>
                </c:pt>
                <c:pt idx="484">
                  <c:v>29.226932999999988</c:v>
                </c:pt>
                <c:pt idx="485">
                  <c:v>29.226932999999988</c:v>
                </c:pt>
                <c:pt idx="486">
                  <c:v>29.226932999999988</c:v>
                </c:pt>
                <c:pt idx="487">
                  <c:v>29.226932999999988</c:v>
                </c:pt>
                <c:pt idx="488">
                  <c:v>29.226932999999988</c:v>
                </c:pt>
                <c:pt idx="489">
                  <c:v>29.226932999999988</c:v>
                </c:pt>
                <c:pt idx="490">
                  <c:v>29.226932999999988</c:v>
                </c:pt>
                <c:pt idx="491">
                  <c:v>29.226932999999988</c:v>
                </c:pt>
                <c:pt idx="492">
                  <c:v>29.226932999999988</c:v>
                </c:pt>
                <c:pt idx="493">
                  <c:v>29.226932999999988</c:v>
                </c:pt>
                <c:pt idx="494">
                  <c:v>29.226932999999988</c:v>
                </c:pt>
                <c:pt idx="495">
                  <c:v>29.226932999999988</c:v>
                </c:pt>
                <c:pt idx="496">
                  <c:v>29.226932999999988</c:v>
                </c:pt>
                <c:pt idx="497">
                  <c:v>29.226932999999988</c:v>
                </c:pt>
                <c:pt idx="498">
                  <c:v>29.226932999999988</c:v>
                </c:pt>
                <c:pt idx="499">
                  <c:v>29.226932999999988</c:v>
                </c:pt>
                <c:pt idx="500">
                  <c:v>29.226932999999988</c:v>
                </c:pt>
                <c:pt idx="501">
                  <c:v>29.226932999999988</c:v>
                </c:pt>
                <c:pt idx="502">
                  <c:v>29.226932999999988</c:v>
                </c:pt>
                <c:pt idx="503">
                  <c:v>29.226932999999988</c:v>
                </c:pt>
                <c:pt idx="504">
                  <c:v>29.226932999999988</c:v>
                </c:pt>
                <c:pt idx="505">
                  <c:v>29.226932999999988</c:v>
                </c:pt>
                <c:pt idx="506">
                  <c:v>29.226932999999988</c:v>
                </c:pt>
                <c:pt idx="507">
                  <c:v>29.226932999999988</c:v>
                </c:pt>
                <c:pt idx="508">
                  <c:v>29.226932999999988</c:v>
                </c:pt>
                <c:pt idx="509">
                  <c:v>29.226932999999988</c:v>
                </c:pt>
                <c:pt idx="510">
                  <c:v>29.226932999999988</c:v>
                </c:pt>
                <c:pt idx="511">
                  <c:v>29.226932999999988</c:v>
                </c:pt>
                <c:pt idx="512">
                  <c:v>29.226932999999988</c:v>
                </c:pt>
                <c:pt idx="513">
                  <c:v>29.226932999999988</c:v>
                </c:pt>
                <c:pt idx="514">
                  <c:v>29.226932999999988</c:v>
                </c:pt>
                <c:pt idx="515">
                  <c:v>29.226932999999988</c:v>
                </c:pt>
                <c:pt idx="516">
                  <c:v>29.226932999999988</c:v>
                </c:pt>
                <c:pt idx="517">
                  <c:v>29.226932999999988</c:v>
                </c:pt>
                <c:pt idx="518">
                  <c:v>29.226932999999988</c:v>
                </c:pt>
                <c:pt idx="519">
                  <c:v>29.226932999999988</c:v>
                </c:pt>
                <c:pt idx="520">
                  <c:v>29.226932999999988</c:v>
                </c:pt>
                <c:pt idx="521">
                  <c:v>29.226932999999988</c:v>
                </c:pt>
                <c:pt idx="522">
                  <c:v>29.226932999999988</c:v>
                </c:pt>
                <c:pt idx="523">
                  <c:v>29.226932999999988</c:v>
                </c:pt>
                <c:pt idx="524">
                  <c:v>29.226932999999988</c:v>
                </c:pt>
                <c:pt idx="525">
                  <c:v>29.226932999999988</c:v>
                </c:pt>
                <c:pt idx="526">
                  <c:v>29.226932999999988</c:v>
                </c:pt>
                <c:pt idx="527">
                  <c:v>29.226932999999988</c:v>
                </c:pt>
                <c:pt idx="528">
                  <c:v>29.226932999999988</c:v>
                </c:pt>
                <c:pt idx="529">
                  <c:v>29.226932999999988</c:v>
                </c:pt>
                <c:pt idx="530">
                  <c:v>29.226932999999988</c:v>
                </c:pt>
                <c:pt idx="531">
                  <c:v>29.226932999999988</c:v>
                </c:pt>
                <c:pt idx="532">
                  <c:v>29.226932999999988</c:v>
                </c:pt>
                <c:pt idx="533">
                  <c:v>29.226932999999988</c:v>
                </c:pt>
                <c:pt idx="534">
                  <c:v>29.226932999999988</c:v>
                </c:pt>
                <c:pt idx="535">
                  <c:v>29.226932999999988</c:v>
                </c:pt>
                <c:pt idx="536">
                  <c:v>29.226932999999988</c:v>
                </c:pt>
                <c:pt idx="537">
                  <c:v>29.226932999999988</c:v>
                </c:pt>
                <c:pt idx="538">
                  <c:v>29.226932999999988</c:v>
                </c:pt>
                <c:pt idx="539">
                  <c:v>29.226932999999988</c:v>
                </c:pt>
                <c:pt idx="540">
                  <c:v>29.226932999999988</c:v>
                </c:pt>
                <c:pt idx="541">
                  <c:v>29.226932999999988</c:v>
                </c:pt>
                <c:pt idx="542">
                  <c:v>29.226932999999988</c:v>
                </c:pt>
                <c:pt idx="543">
                  <c:v>29.226932999999988</c:v>
                </c:pt>
                <c:pt idx="544">
                  <c:v>29.226932999999988</c:v>
                </c:pt>
                <c:pt idx="545">
                  <c:v>29.226932999999988</c:v>
                </c:pt>
                <c:pt idx="546">
                  <c:v>29.226932999999988</c:v>
                </c:pt>
                <c:pt idx="547">
                  <c:v>29.226932999999988</c:v>
                </c:pt>
                <c:pt idx="548">
                  <c:v>29.226932999999988</c:v>
                </c:pt>
                <c:pt idx="549">
                  <c:v>29.226932999999988</c:v>
                </c:pt>
                <c:pt idx="550">
                  <c:v>29.226932999999988</c:v>
                </c:pt>
                <c:pt idx="551">
                  <c:v>29.226932999999988</c:v>
                </c:pt>
                <c:pt idx="552">
                  <c:v>29.226932999999988</c:v>
                </c:pt>
                <c:pt idx="553">
                  <c:v>29.226932999999988</c:v>
                </c:pt>
                <c:pt idx="554">
                  <c:v>29.226932999999988</c:v>
                </c:pt>
                <c:pt idx="555">
                  <c:v>29.226932999999988</c:v>
                </c:pt>
                <c:pt idx="556">
                  <c:v>29.226932999999988</c:v>
                </c:pt>
                <c:pt idx="557">
                  <c:v>29.226932999999988</c:v>
                </c:pt>
                <c:pt idx="558">
                  <c:v>29.226932999999988</c:v>
                </c:pt>
                <c:pt idx="559">
                  <c:v>29.226932999999988</c:v>
                </c:pt>
                <c:pt idx="560">
                  <c:v>29.226932999999988</c:v>
                </c:pt>
                <c:pt idx="561">
                  <c:v>29.226932999999988</c:v>
                </c:pt>
                <c:pt idx="562">
                  <c:v>29.226932999999988</c:v>
                </c:pt>
                <c:pt idx="563">
                  <c:v>29.226932999999988</c:v>
                </c:pt>
                <c:pt idx="564">
                  <c:v>29.226932999999988</c:v>
                </c:pt>
                <c:pt idx="565">
                  <c:v>29.226932999999988</c:v>
                </c:pt>
                <c:pt idx="566">
                  <c:v>29.226932999999988</c:v>
                </c:pt>
                <c:pt idx="567">
                  <c:v>29.226932999999988</c:v>
                </c:pt>
                <c:pt idx="568">
                  <c:v>29.226932999999988</c:v>
                </c:pt>
                <c:pt idx="569">
                  <c:v>29.226932999999988</c:v>
                </c:pt>
                <c:pt idx="570">
                  <c:v>29.226932999999988</c:v>
                </c:pt>
                <c:pt idx="571">
                  <c:v>29.226932999999988</c:v>
                </c:pt>
                <c:pt idx="572">
                  <c:v>29.226932999999988</c:v>
                </c:pt>
                <c:pt idx="573">
                  <c:v>29.226932999999988</c:v>
                </c:pt>
                <c:pt idx="574">
                  <c:v>29.226932999999988</c:v>
                </c:pt>
                <c:pt idx="575">
                  <c:v>29.226932999999988</c:v>
                </c:pt>
                <c:pt idx="576">
                  <c:v>29.226932999999988</c:v>
                </c:pt>
                <c:pt idx="577">
                  <c:v>29.226932999999988</c:v>
                </c:pt>
                <c:pt idx="578">
                  <c:v>29.226932999999988</c:v>
                </c:pt>
                <c:pt idx="579">
                  <c:v>29.226932999999988</c:v>
                </c:pt>
                <c:pt idx="580">
                  <c:v>29.226932999999988</c:v>
                </c:pt>
                <c:pt idx="581">
                  <c:v>29.226932999999988</c:v>
                </c:pt>
                <c:pt idx="582">
                  <c:v>29.226932999999988</c:v>
                </c:pt>
                <c:pt idx="583">
                  <c:v>29.226932999999988</c:v>
                </c:pt>
                <c:pt idx="584">
                  <c:v>29.226932999999988</c:v>
                </c:pt>
                <c:pt idx="585">
                  <c:v>29.226932999999988</c:v>
                </c:pt>
                <c:pt idx="586">
                  <c:v>29.226932999999988</c:v>
                </c:pt>
                <c:pt idx="587">
                  <c:v>29.226932999999988</c:v>
                </c:pt>
                <c:pt idx="588">
                  <c:v>29.226932999999988</c:v>
                </c:pt>
                <c:pt idx="589">
                  <c:v>29.226932999999988</c:v>
                </c:pt>
                <c:pt idx="590">
                  <c:v>29.226932999999988</c:v>
                </c:pt>
                <c:pt idx="591">
                  <c:v>29.226932999999988</c:v>
                </c:pt>
                <c:pt idx="592">
                  <c:v>29.226932999999988</c:v>
                </c:pt>
                <c:pt idx="593">
                  <c:v>29.226932999999988</c:v>
                </c:pt>
                <c:pt idx="594">
                  <c:v>29.226932999999988</c:v>
                </c:pt>
                <c:pt idx="595">
                  <c:v>29.226932999999988</c:v>
                </c:pt>
                <c:pt idx="596">
                  <c:v>29.226932999999988</c:v>
                </c:pt>
                <c:pt idx="597">
                  <c:v>29.226932999999988</c:v>
                </c:pt>
                <c:pt idx="598">
                  <c:v>29.226932999999988</c:v>
                </c:pt>
                <c:pt idx="599">
                  <c:v>29.226932999999988</c:v>
                </c:pt>
                <c:pt idx="600">
                  <c:v>29.226932999999988</c:v>
                </c:pt>
                <c:pt idx="601">
                  <c:v>29.226932999999988</c:v>
                </c:pt>
                <c:pt idx="602">
                  <c:v>29.226932999999988</c:v>
                </c:pt>
                <c:pt idx="603">
                  <c:v>29.226932999999988</c:v>
                </c:pt>
                <c:pt idx="604">
                  <c:v>29.226932999999988</c:v>
                </c:pt>
                <c:pt idx="605">
                  <c:v>29.226932999999988</c:v>
                </c:pt>
                <c:pt idx="606">
                  <c:v>29.226932999999988</c:v>
                </c:pt>
                <c:pt idx="607">
                  <c:v>29.226932999999988</c:v>
                </c:pt>
                <c:pt idx="608">
                  <c:v>29.226932999999988</c:v>
                </c:pt>
                <c:pt idx="609">
                  <c:v>29.226932999999988</c:v>
                </c:pt>
                <c:pt idx="610">
                  <c:v>29.226932999999988</c:v>
                </c:pt>
                <c:pt idx="611">
                  <c:v>29.226932999999988</c:v>
                </c:pt>
                <c:pt idx="612">
                  <c:v>29.226932999999988</c:v>
                </c:pt>
                <c:pt idx="613">
                  <c:v>29.226932999999988</c:v>
                </c:pt>
                <c:pt idx="614">
                  <c:v>29.226932999999988</c:v>
                </c:pt>
                <c:pt idx="615">
                  <c:v>29.226932999999988</c:v>
                </c:pt>
                <c:pt idx="616">
                  <c:v>29.226932999999988</c:v>
                </c:pt>
                <c:pt idx="617">
                  <c:v>29.226932999999988</c:v>
                </c:pt>
                <c:pt idx="618">
                  <c:v>29.226932999999988</c:v>
                </c:pt>
                <c:pt idx="619">
                  <c:v>29.226932999999988</c:v>
                </c:pt>
                <c:pt idx="620">
                  <c:v>29.226932999999988</c:v>
                </c:pt>
                <c:pt idx="621">
                  <c:v>29.226932999999988</c:v>
                </c:pt>
                <c:pt idx="622">
                  <c:v>29.226932999999988</c:v>
                </c:pt>
                <c:pt idx="623">
                  <c:v>29.226932999999988</c:v>
                </c:pt>
                <c:pt idx="624">
                  <c:v>29.226932999999988</c:v>
                </c:pt>
                <c:pt idx="625">
                  <c:v>29.226932999999988</c:v>
                </c:pt>
                <c:pt idx="626">
                  <c:v>29.226932999999988</c:v>
                </c:pt>
                <c:pt idx="627">
                  <c:v>29.226932999999988</c:v>
                </c:pt>
                <c:pt idx="628">
                  <c:v>29.226932999999988</c:v>
                </c:pt>
                <c:pt idx="629">
                  <c:v>29.226932999999988</c:v>
                </c:pt>
                <c:pt idx="630">
                  <c:v>29.226932999999988</c:v>
                </c:pt>
                <c:pt idx="631">
                  <c:v>29.226932999999988</c:v>
                </c:pt>
                <c:pt idx="632">
                  <c:v>29.226932999999988</c:v>
                </c:pt>
                <c:pt idx="633">
                  <c:v>29.226932999999988</c:v>
                </c:pt>
                <c:pt idx="634">
                  <c:v>29.226932999999988</c:v>
                </c:pt>
                <c:pt idx="635">
                  <c:v>29.226932999999988</c:v>
                </c:pt>
                <c:pt idx="636">
                  <c:v>29.226932999999988</c:v>
                </c:pt>
                <c:pt idx="637">
                  <c:v>29.226932999999988</c:v>
                </c:pt>
                <c:pt idx="638">
                  <c:v>29.226932999999988</c:v>
                </c:pt>
                <c:pt idx="639">
                  <c:v>29.226932999999988</c:v>
                </c:pt>
                <c:pt idx="640">
                  <c:v>29.226932999999988</c:v>
                </c:pt>
                <c:pt idx="641">
                  <c:v>29.226932999999988</c:v>
                </c:pt>
                <c:pt idx="642">
                  <c:v>29.226932999999988</c:v>
                </c:pt>
                <c:pt idx="643">
                  <c:v>29.226932999999988</c:v>
                </c:pt>
                <c:pt idx="644">
                  <c:v>29.226932999999988</c:v>
                </c:pt>
                <c:pt idx="645">
                  <c:v>29.226932999999988</c:v>
                </c:pt>
                <c:pt idx="646">
                  <c:v>29.226932999999988</c:v>
                </c:pt>
                <c:pt idx="647">
                  <c:v>29.226932999999988</c:v>
                </c:pt>
                <c:pt idx="648">
                  <c:v>29.226932999999988</c:v>
                </c:pt>
                <c:pt idx="649">
                  <c:v>29.226932999999988</c:v>
                </c:pt>
                <c:pt idx="650">
                  <c:v>29.226932999999988</c:v>
                </c:pt>
                <c:pt idx="651">
                  <c:v>29.226932999999988</c:v>
                </c:pt>
                <c:pt idx="652">
                  <c:v>29.226932999999988</c:v>
                </c:pt>
                <c:pt idx="653">
                  <c:v>29.226932999999988</c:v>
                </c:pt>
                <c:pt idx="654">
                  <c:v>29.226932999999988</c:v>
                </c:pt>
                <c:pt idx="655">
                  <c:v>29.226932999999988</c:v>
                </c:pt>
                <c:pt idx="656">
                  <c:v>29.226932999999988</c:v>
                </c:pt>
                <c:pt idx="657">
                  <c:v>29.226932999999988</c:v>
                </c:pt>
                <c:pt idx="658">
                  <c:v>29.226932999999988</c:v>
                </c:pt>
                <c:pt idx="659">
                  <c:v>29.226932999999988</c:v>
                </c:pt>
                <c:pt idx="660">
                  <c:v>29.226932999999988</c:v>
                </c:pt>
                <c:pt idx="661">
                  <c:v>29.226932999999988</c:v>
                </c:pt>
                <c:pt idx="662">
                  <c:v>29.226932999999988</c:v>
                </c:pt>
                <c:pt idx="663">
                  <c:v>29.226932999999988</c:v>
                </c:pt>
                <c:pt idx="664">
                  <c:v>29.226932999999988</c:v>
                </c:pt>
                <c:pt idx="665">
                  <c:v>29.226932999999988</c:v>
                </c:pt>
                <c:pt idx="666">
                  <c:v>29.226932999999988</c:v>
                </c:pt>
                <c:pt idx="667">
                  <c:v>29.226932999999988</c:v>
                </c:pt>
                <c:pt idx="668">
                  <c:v>29.226932999999988</c:v>
                </c:pt>
                <c:pt idx="669">
                  <c:v>29.226932999999988</c:v>
                </c:pt>
                <c:pt idx="670">
                  <c:v>29.226932999999988</c:v>
                </c:pt>
                <c:pt idx="671">
                  <c:v>29.226932999999988</c:v>
                </c:pt>
                <c:pt idx="672">
                  <c:v>29.226932999999988</c:v>
                </c:pt>
                <c:pt idx="673">
                  <c:v>29.226932999999988</c:v>
                </c:pt>
                <c:pt idx="674">
                  <c:v>29.226932999999988</c:v>
                </c:pt>
                <c:pt idx="675">
                  <c:v>29.226932999999988</c:v>
                </c:pt>
                <c:pt idx="676">
                  <c:v>29.226932999999988</c:v>
                </c:pt>
                <c:pt idx="677">
                  <c:v>29.226932999999988</c:v>
                </c:pt>
                <c:pt idx="678">
                  <c:v>29.226932999999988</c:v>
                </c:pt>
                <c:pt idx="679">
                  <c:v>29.226932999999988</c:v>
                </c:pt>
                <c:pt idx="680">
                  <c:v>29.226932999999988</c:v>
                </c:pt>
                <c:pt idx="681">
                  <c:v>29.226932999999988</c:v>
                </c:pt>
                <c:pt idx="682">
                  <c:v>29.226932999999988</c:v>
                </c:pt>
                <c:pt idx="683">
                  <c:v>29.226932999999988</c:v>
                </c:pt>
                <c:pt idx="684">
                  <c:v>29.226932999999988</c:v>
                </c:pt>
                <c:pt idx="685">
                  <c:v>29.226932999999988</c:v>
                </c:pt>
                <c:pt idx="686">
                  <c:v>29.226932999999988</c:v>
                </c:pt>
                <c:pt idx="687">
                  <c:v>29.226932999999988</c:v>
                </c:pt>
                <c:pt idx="688">
                  <c:v>29.226932999999988</c:v>
                </c:pt>
                <c:pt idx="689">
                  <c:v>29.226932999999988</c:v>
                </c:pt>
                <c:pt idx="690">
                  <c:v>29.226932999999988</c:v>
                </c:pt>
                <c:pt idx="691">
                  <c:v>29.226932999999988</c:v>
                </c:pt>
                <c:pt idx="692">
                  <c:v>29.226932999999988</c:v>
                </c:pt>
                <c:pt idx="693">
                  <c:v>29.226932999999988</c:v>
                </c:pt>
                <c:pt idx="694">
                  <c:v>29.226932999999988</c:v>
                </c:pt>
                <c:pt idx="695">
                  <c:v>29.226932999999988</c:v>
                </c:pt>
                <c:pt idx="696">
                  <c:v>29.226932999999988</c:v>
                </c:pt>
                <c:pt idx="697">
                  <c:v>29.226932999999988</c:v>
                </c:pt>
                <c:pt idx="698">
                  <c:v>29.226932999999988</c:v>
                </c:pt>
                <c:pt idx="699">
                  <c:v>29.226932999999988</c:v>
                </c:pt>
                <c:pt idx="700">
                  <c:v>29.226932999999988</c:v>
                </c:pt>
                <c:pt idx="701">
                  <c:v>29.226932999999988</c:v>
                </c:pt>
                <c:pt idx="702">
                  <c:v>29.226932999999988</c:v>
                </c:pt>
                <c:pt idx="703">
                  <c:v>29.226932999999988</c:v>
                </c:pt>
                <c:pt idx="704">
                  <c:v>29.226932999999988</c:v>
                </c:pt>
                <c:pt idx="705">
                  <c:v>29.226932999999988</c:v>
                </c:pt>
                <c:pt idx="706">
                  <c:v>29.226932999999988</c:v>
                </c:pt>
                <c:pt idx="707">
                  <c:v>29.226932999999988</c:v>
                </c:pt>
                <c:pt idx="708">
                  <c:v>29.226932999999988</c:v>
                </c:pt>
                <c:pt idx="709">
                  <c:v>29.226932999999988</c:v>
                </c:pt>
                <c:pt idx="710">
                  <c:v>29.226932999999988</c:v>
                </c:pt>
                <c:pt idx="711">
                  <c:v>29.226932999999988</c:v>
                </c:pt>
                <c:pt idx="712">
                  <c:v>29.226932999999988</c:v>
                </c:pt>
                <c:pt idx="713">
                  <c:v>29.226932999999988</c:v>
                </c:pt>
                <c:pt idx="714">
                  <c:v>29.226932999999988</c:v>
                </c:pt>
                <c:pt idx="715">
                  <c:v>29.226932999999988</c:v>
                </c:pt>
                <c:pt idx="716">
                  <c:v>29.226932999999988</c:v>
                </c:pt>
                <c:pt idx="717">
                  <c:v>29.226932999999988</c:v>
                </c:pt>
                <c:pt idx="718">
                  <c:v>29.226932999999988</c:v>
                </c:pt>
                <c:pt idx="719">
                  <c:v>29.226932999999988</c:v>
                </c:pt>
                <c:pt idx="720">
                  <c:v>29.226932999999988</c:v>
                </c:pt>
                <c:pt idx="721">
                  <c:v>29.226932999999988</c:v>
                </c:pt>
                <c:pt idx="722">
                  <c:v>29.226932999999988</c:v>
                </c:pt>
                <c:pt idx="723">
                  <c:v>29.226932999999988</c:v>
                </c:pt>
                <c:pt idx="724">
                  <c:v>29.226932999999988</c:v>
                </c:pt>
                <c:pt idx="725">
                  <c:v>29.226932999999988</c:v>
                </c:pt>
                <c:pt idx="726">
                  <c:v>29.226932999999988</c:v>
                </c:pt>
                <c:pt idx="727">
                  <c:v>29.226932999999988</c:v>
                </c:pt>
                <c:pt idx="728">
                  <c:v>29.226932999999988</c:v>
                </c:pt>
                <c:pt idx="729">
                  <c:v>29.226932999999988</c:v>
                </c:pt>
                <c:pt idx="730">
                  <c:v>29.226932999999988</c:v>
                </c:pt>
                <c:pt idx="731">
                  <c:v>29.226932999999988</c:v>
                </c:pt>
                <c:pt idx="732">
                  <c:v>29.226932999999988</c:v>
                </c:pt>
                <c:pt idx="733">
                  <c:v>29.226932999999988</c:v>
                </c:pt>
                <c:pt idx="734">
                  <c:v>29.226932999999988</c:v>
                </c:pt>
                <c:pt idx="735">
                  <c:v>29.226932999999988</c:v>
                </c:pt>
                <c:pt idx="736">
                  <c:v>29.226932999999988</c:v>
                </c:pt>
                <c:pt idx="737">
                  <c:v>29.226932999999988</c:v>
                </c:pt>
                <c:pt idx="738">
                  <c:v>29.226932999999988</c:v>
                </c:pt>
                <c:pt idx="739">
                  <c:v>29.226932999999988</c:v>
                </c:pt>
                <c:pt idx="740">
                  <c:v>29.226932999999988</c:v>
                </c:pt>
                <c:pt idx="741">
                  <c:v>29.226932999999988</c:v>
                </c:pt>
                <c:pt idx="742">
                  <c:v>29.226932999999988</c:v>
                </c:pt>
                <c:pt idx="743">
                  <c:v>29.226932999999988</c:v>
                </c:pt>
                <c:pt idx="744">
                  <c:v>29.226932999999988</c:v>
                </c:pt>
                <c:pt idx="745">
                  <c:v>29.226932999999988</c:v>
                </c:pt>
                <c:pt idx="746">
                  <c:v>29.226932999999988</c:v>
                </c:pt>
                <c:pt idx="747">
                  <c:v>29.226932999999988</c:v>
                </c:pt>
                <c:pt idx="748">
                  <c:v>29.226932999999988</c:v>
                </c:pt>
                <c:pt idx="749">
                  <c:v>29.226932999999988</c:v>
                </c:pt>
                <c:pt idx="750">
                  <c:v>29.226932999999988</c:v>
                </c:pt>
                <c:pt idx="751">
                  <c:v>29.226932999999988</c:v>
                </c:pt>
                <c:pt idx="752">
                  <c:v>29.226932999999988</c:v>
                </c:pt>
                <c:pt idx="753">
                  <c:v>29.226932999999988</c:v>
                </c:pt>
                <c:pt idx="754">
                  <c:v>29.226932999999988</c:v>
                </c:pt>
                <c:pt idx="755">
                  <c:v>29.226932999999988</c:v>
                </c:pt>
                <c:pt idx="756">
                  <c:v>29.226932999999988</c:v>
                </c:pt>
                <c:pt idx="757">
                  <c:v>29.226932999999988</c:v>
                </c:pt>
                <c:pt idx="758">
                  <c:v>29.226932999999988</c:v>
                </c:pt>
                <c:pt idx="759">
                  <c:v>29.226932999999988</c:v>
                </c:pt>
                <c:pt idx="760">
                  <c:v>29.226932999999988</c:v>
                </c:pt>
                <c:pt idx="761">
                  <c:v>29.226932999999988</c:v>
                </c:pt>
                <c:pt idx="762">
                  <c:v>29.226932999999988</c:v>
                </c:pt>
                <c:pt idx="763">
                  <c:v>29.226932999999988</c:v>
                </c:pt>
                <c:pt idx="764">
                  <c:v>29.226932999999988</c:v>
                </c:pt>
                <c:pt idx="765">
                  <c:v>29.226932999999988</c:v>
                </c:pt>
                <c:pt idx="766">
                  <c:v>29.226932999999988</c:v>
                </c:pt>
                <c:pt idx="767">
                  <c:v>29.226932999999988</c:v>
                </c:pt>
                <c:pt idx="768">
                  <c:v>29.226932999999988</c:v>
                </c:pt>
                <c:pt idx="769">
                  <c:v>29.226932999999988</c:v>
                </c:pt>
                <c:pt idx="770">
                  <c:v>29.226932999999988</c:v>
                </c:pt>
                <c:pt idx="771">
                  <c:v>29.226932999999988</c:v>
                </c:pt>
                <c:pt idx="772">
                  <c:v>29.226932999999988</c:v>
                </c:pt>
                <c:pt idx="773">
                  <c:v>29.226932999999988</c:v>
                </c:pt>
                <c:pt idx="774">
                  <c:v>29.226932999999988</c:v>
                </c:pt>
                <c:pt idx="775">
                  <c:v>29.226932999999988</c:v>
                </c:pt>
                <c:pt idx="776">
                  <c:v>29.226932999999988</c:v>
                </c:pt>
                <c:pt idx="777">
                  <c:v>29.226932999999988</c:v>
                </c:pt>
                <c:pt idx="778">
                  <c:v>29.226932999999988</c:v>
                </c:pt>
                <c:pt idx="779">
                  <c:v>29.226932999999988</c:v>
                </c:pt>
                <c:pt idx="780">
                  <c:v>29.226932999999988</c:v>
                </c:pt>
                <c:pt idx="781">
                  <c:v>29.226932999999988</c:v>
                </c:pt>
                <c:pt idx="782">
                  <c:v>29.226932999999988</c:v>
                </c:pt>
                <c:pt idx="783">
                  <c:v>29.226932999999988</c:v>
                </c:pt>
                <c:pt idx="784">
                  <c:v>29.226932999999988</c:v>
                </c:pt>
                <c:pt idx="785">
                  <c:v>29.226932999999988</c:v>
                </c:pt>
                <c:pt idx="786">
                  <c:v>29.226932999999988</c:v>
                </c:pt>
                <c:pt idx="787">
                  <c:v>29.226932999999988</c:v>
                </c:pt>
                <c:pt idx="788">
                  <c:v>29.226932999999988</c:v>
                </c:pt>
                <c:pt idx="789">
                  <c:v>29.226932999999988</c:v>
                </c:pt>
                <c:pt idx="790">
                  <c:v>29.226932999999988</c:v>
                </c:pt>
                <c:pt idx="791">
                  <c:v>29.226932999999988</c:v>
                </c:pt>
                <c:pt idx="792">
                  <c:v>29.226932999999988</c:v>
                </c:pt>
                <c:pt idx="793">
                  <c:v>29.226932999999988</c:v>
                </c:pt>
                <c:pt idx="794">
                  <c:v>29.226932999999988</c:v>
                </c:pt>
                <c:pt idx="795">
                  <c:v>29.226932999999988</c:v>
                </c:pt>
                <c:pt idx="796">
                  <c:v>29.226932999999988</c:v>
                </c:pt>
                <c:pt idx="797">
                  <c:v>29.226932999999988</c:v>
                </c:pt>
                <c:pt idx="798">
                  <c:v>29.226932999999988</c:v>
                </c:pt>
                <c:pt idx="799">
                  <c:v>29.226932999999988</c:v>
                </c:pt>
                <c:pt idx="800">
                  <c:v>29.226932999999988</c:v>
                </c:pt>
                <c:pt idx="801">
                  <c:v>29.226932999999988</c:v>
                </c:pt>
                <c:pt idx="802">
                  <c:v>29.226932999999988</c:v>
                </c:pt>
                <c:pt idx="803">
                  <c:v>29.226932999999988</c:v>
                </c:pt>
                <c:pt idx="804">
                  <c:v>29.226932999999988</c:v>
                </c:pt>
                <c:pt idx="805">
                  <c:v>29.226932999999988</c:v>
                </c:pt>
                <c:pt idx="806">
                  <c:v>29.226932999999988</c:v>
                </c:pt>
                <c:pt idx="807">
                  <c:v>29.226932999999988</c:v>
                </c:pt>
                <c:pt idx="808">
                  <c:v>29.226932999999988</c:v>
                </c:pt>
                <c:pt idx="809">
                  <c:v>29.226932999999988</c:v>
                </c:pt>
                <c:pt idx="810">
                  <c:v>29.226932999999988</c:v>
                </c:pt>
                <c:pt idx="811">
                  <c:v>29.226932999999988</c:v>
                </c:pt>
                <c:pt idx="812">
                  <c:v>29.226932999999988</c:v>
                </c:pt>
                <c:pt idx="813">
                  <c:v>29.226932999999988</c:v>
                </c:pt>
                <c:pt idx="814">
                  <c:v>29.226932999999988</c:v>
                </c:pt>
                <c:pt idx="815">
                  <c:v>29.226932999999988</c:v>
                </c:pt>
                <c:pt idx="816">
                  <c:v>29.226932999999988</c:v>
                </c:pt>
                <c:pt idx="817">
                  <c:v>29.226932999999988</c:v>
                </c:pt>
                <c:pt idx="818">
                  <c:v>29.226932999999988</c:v>
                </c:pt>
                <c:pt idx="819">
                  <c:v>29.226932999999988</c:v>
                </c:pt>
                <c:pt idx="820">
                  <c:v>29.226932999999988</c:v>
                </c:pt>
                <c:pt idx="821">
                  <c:v>29.226932999999988</c:v>
                </c:pt>
                <c:pt idx="822">
                  <c:v>29.226932999999988</c:v>
                </c:pt>
                <c:pt idx="823">
                  <c:v>29.226932999999988</c:v>
                </c:pt>
                <c:pt idx="824">
                  <c:v>29.226932999999988</c:v>
                </c:pt>
                <c:pt idx="825">
                  <c:v>29.226932999999988</c:v>
                </c:pt>
                <c:pt idx="826">
                  <c:v>29.226932999999988</c:v>
                </c:pt>
                <c:pt idx="827">
                  <c:v>29.226932999999988</c:v>
                </c:pt>
                <c:pt idx="828">
                  <c:v>29.226932999999988</c:v>
                </c:pt>
                <c:pt idx="829">
                  <c:v>29.226932999999988</c:v>
                </c:pt>
                <c:pt idx="830">
                  <c:v>29.226932999999988</c:v>
                </c:pt>
                <c:pt idx="831">
                  <c:v>29.226932999999988</c:v>
                </c:pt>
                <c:pt idx="832">
                  <c:v>29.226932999999988</c:v>
                </c:pt>
                <c:pt idx="833">
                  <c:v>29.226932999999988</c:v>
                </c:pt>
                <c:pt idx="834">
                  <c:v>29.226932999999988</c:v>
                </c:pt>
                <c:pt idx="835">
                  <c:v>29.226932999999988</c:v>
                </c:pt>
                <c:pt idx="836">
                  <c:v>29.226932999999988</c:v>
                </c:pt>
                <c:pt idx="837">
                  <c:v>29.226932999999988</c:v>
                </c:pt>
                <c:pt idx="838">
                  <c:v>29.226932999999988</c:v>
                </c:pt>
                <c:pt idx="839">
                  <c:v>29.226932999999988</c:v>
                </c:pt>
                <c:pt idx="840">
                  <c:v>29.226932999999988</c:v>
                </c:pt>
                <c:pt idx="841">
                  <c:v>29.226932999999988</c:v>
                </c:pt>
                <c:pt idx="842">
                  <c:v>29.226932999999988</c:v>
                </c:pt>
                <c:pt idx="843">
                  <c:v>29.226932999999988</c:v>
                </c:pt>
                <c:pt idx="844">
                  <c:v>29.226932999999988</c:v>
                </c:pt>
                <c:pt idx="845">
                  <c:v>29.226932999999988</c:v>
                </c:pt>
                <c:pt idx="846">
                  <c:v>29.226932999999988</c:v>
                </c:pt>
                <c:pt idx="847">
                  <c:v>29.226932999999988</c:v>
                </c:pt>
                <c:pt idx="848">
                  <c:v>29.226932999999988</c:v>
                </c:pt>
                <c:pt idx="849">
                  <c:v>29.226932999999988</c:v>
                </c:pt>
                <c:pt idx="850">
                  <c:v>29.226932999999988</c:v>
                </c:pt>
                <c:pt idx="851">
                  <c:v>29.226932999999988</c:v>
                </c:pt>
                <c:pt idx="852">
                  <c:v>29.226932999999988</c:v>
                </c:pt>
                <c:pt idx="853">
                  <c:v>29.226932999999988</c:v>
                </c:pt>
                <c:pt idx="854">
                  <c:v>29.226932999999988</c:v>
                </c:pt>
                <c:pt idx="855">
                  <c:v>29.226932999999988</c:v>
                </c:pt>
                <c:pt idx="856">
                  <c:v>29.226932999999988</c:v>
                </c:pt>
                <c:pt idx="857">
                  <c:v>29.226932999999988</c:v>
                </c:pt>
                <c:pt idx="858">
                  <c:v>29.226932999999988</c:v>
                </c:pt>
                <c:pt idx="859">
                  <c:v>29.226932999999988</c:v>
                </c:pt>
                <c:pt idx="860">
                  <c:v>29.226932999999988</c:v>
                </c:pt>
                <c:pt idx="861">
                  <c:v>29.226932999999988</c:v>
                </c:pt>
                <c:pt idx="862">
                  <c:v>29.226932999999988</c:v>
                </c:pt>
                <c:pt idx="863">
                  <c:v>29.226932999999988</c:v>
                </c:pt>
                <c:pt idx="864">
                  <c:v>29.226932999999988</c:v>
                </c:pt>
                <c:pt idx="865">
                  <c:v>29.226932999999988</c:v>
                </c:pt>
                <c:pt idx="866">
                  <c:v>29.226932999999988</c:v>
                </c:pt>
                <c:pt idx="867">
                  <c:v>29.226932999999988</c:v>
                </c:pt>
                <c:pt idx="868">
                  <c:v>29.226932999999988</c:v>
                </c:pt>
                <c:pt idx="869">
                  <c:v>29.226932999999988</c:v>
                </c:pt>
                <c:pt idx="870">
                  <c:v>29.226932999999988</c:v>
                </c:pt>
                <c:pt idx="871">
                  <c:v>29.226932999999988</c:v>
                </c:pt>
                <c:pt idx="872">
                  <c:v>29.226932999999988</c:v>
                </c:pt>
                <c:pt idx="873">
                  <c:v>29.226932999999988</c:v>
                </c:pt>
                <c:pt idx="874">
                  <c:v>29.226932999999988</c:v>
                </c:pt>
                <c:pt idx="875">
                  <c:v>29.226932999999988</c:v>
                </c:pt>
                <c:pt idx="876">
                  <c:v>29.226932999999988</c:v>
                </c:pt>
                <c:pt idx="877">
                  <c:v>29.226932999999988</c:v>
                </c:pt>
                <c:pt idx="878">
                  <c:v>29.226932999999988</c:v>
                </c:pt>
                <c:pt idx="879">
                  <c:v>29.226932999999988</c:v>
                </c:pt>
                <c:pt idx="880">
                  <c:v>29.226932999999988</c:v>
                </c:pt>
                <c:pt idx="881">
                  <c:v>29.226932999999988</c:v>
                </c:pt>
                <c:pt idx="882">
                  <c:v>29.226932999999988</c:v>
                </c:pt>
                <c:pt idx="883">
                  <c:v>29.226932999999988</c:v>
                </c:pt>
                <c:pt idx="884">
                  <c:v>29.226932999999988</c:v>
                </c:pt>
                <c:pt idx="885">
                  <c:v>29.226932999999988</c:v>
                </c:pt>
                <c:pt idx="886">
                  <c:v>29.226932999999988</c:v>
                </c:pt>
                <c:pt idx="887">
                  <c:v>29.226932999999988</c:v>
                </c:pt>
                <c:pt idx="888">
                  <c:v>29.226932999999988</c:v>
                </c:pt>
                <c:pt idx="889">
                  <c:v>29.226932999999988</c:v>
                </c:pt>
                <c:pt idx="890">
                  <c:v>29.226932999999988</c:v>
                </c:pt>
                <c:pt idx="891">
                  <c:v>29.226932999999988</c:v>
                </c:pt>
                <c:pt idx="892">
                  <c:v>29.226932999999988</c:v>
                </c:pt>
                <c:pt idx="893">
                  <c:v>29.226932999999988</c:v>
                </c:pt>
                <c:pt idx="894">
                  <c:v>29.226932999999988</c:v>
                </c:pt>
                <c:pt idx="895">
                  <c:v>29.226932999999988</c:v>
                </c:pt>
                <c:pt idx="896">
                  <c:v>29.226932999999988</c:v>
                </c:pt>
                <c:pt idx="897">
                  <c:v>29.226932999999988</c:v>
                </c:pt>
                <c:pt idx="898">
                  <c:v>29.226932999999988</c:v>
                </c:pt>
                <c:pt idx="899">
                  <c:v>29.226932999999988</c:v>
                </c:pt>
                <c:pt idx="900">
                  <c:v>29.226932999999988</c:v>
                </c:pt>
                <c:pt idx="901">
                  <c:v>29.226932999999988</c:v>
                </c:pt>
                <c:pt idx="902">
                  <c:v>29.226932999999988</c:v>
                </c:pt>
                <c:pt idx="903">
                  <c:v>29.226932999999988</c:v>
                </c:pt>
                <c:pt idx="904">
                  <c:v>29.226932999999988</c:v>
                </c:pt>
                <c:pt idx="905">
                  <c:v>29.226932999999988</c:v>
                </c:pt>
                <c:pt idx="906">
                  <c:v>29.226932999999988</c:v>
                </c:pt>
                <c:pt idx="907">
                  <c:v>29.226932999999988</c:v>
                </c:pt>
                <c:pt idx="908">
                  <c:v>29.226932999999988</c:v>
                </c:pt>
                <c:pt idx="909">
                  <c:v>29.226932999999988</c:v>
                </c:pt>
                <c:pt idx="910">
                  <c:v>29.226932999999988</c:v>
                </c:pt>
                <c:pt idx="911">
                  <c:v>29.226932999999988</c:v>
                </c:pt>
                <c:pt idx="912">
                  <c:v>29.226932999999988</c:v>
                </c:pt>
                <c:pt idx="913">
                  <c:v>29.226932999999988</c:v>
                </c:pt>
                <c:pt idx="914">
                  <c:v>29.226932999999988</c:v>
                </c:pt>
                <c:pt idx="915">
                  <c:v>29.226932999999988</c:v>
                </c:pt>
                <c:pt idx="916">
                  <c:v>29.226932999999988</c:v>
                </c:pt>
                <c:pt idx="917">
                  <c:v>29.226932999999988</c:v>
                </c:pt>
                <c:pt idx="918">
                  <c:v>29.226932999999988</c:v>
                </c:pt>
                <c:pt idx="919">
                  <c:v>29.226932999999988</c:v>
                </c:pt>
                <c:pt idx="920">
                  <c:v>29.226932999999988</c:v>
                </c:pt>
                <c:pt idx="921">
                  <c:v>29.226932999999988</c:v>
                </c:pt>
                <c:pt idx="922">
                  <c:v>29.226932999999988</c:v>
                </c:pt>
                <c:pt idx="923">
                  <c:v>29.226932999999988</c:v>
                </c:pt>
                <c:pt idx="924">
                  <c:v>29.226932999999988</c:v>
                </c:pt>
                <c:pt idx="925">
                  <c:v>29.226932999999988</c:v>
                </c:pt>
                <c:pt idx="926">
                  <c:v>29.226932999999988</c:v>
                </c:pt>
                <c:pt idx="927">
                  <c:v>29.226932999999988</c:v>
                </c:pt>
                <c:pt idx="928">
                  <c:v>29.226932999999988</c:v>
                </c:pt>
                <c:pt idx="929">
                  <c:v>29.226932999999988</c:v>
                </c:pt>
                <c:pt idx="930">
                  <c:v>29.226932999999988</c:v>
                </c:pt>
                <c:pt idx="931">
                  <c:v>29.226932999999988</c:v>
                </c:pt>
                <c:pt idx="932">
                  <c:v>29.226932999999988</c:v>
                </c:pt>
                <c:pt idx="933">
                  <c:v>29.226932999999988</c:v>
                </c:pt>
                <c:pt idx="934">
                  <c:v>29.226932999999988</c:v>
                </c:pt>
                <c:pt idx="935">
                  <c:v>29.226932999999988</c:v>
                </c:pt>
                <c:pt idx="936">
                  <c:v>29.226932999999988</c:v>
                </c:pt>
                <c:pt idx="937">
                  <c:v>29.226932999999988</c:v>
                </c:pt>
                <c:pt idx="938">
                  <c:v>29.226932999999988</c:v>
                </c:pt>
                <c:pt idx="939">
                  <c:v>29.226932999999988</c:v>
                </c:pt>
                <c:pt idx="940">
                  <c:v>29.226932999999988</c:v>
                </c:pt>
                <c:pt idx="941">
                  <c:v>29.226932999999988</c:v>
                </c:pt>
                <c:pt idx="942">
                  <c:v>29.226932999999988</c:v>
                </c:pt>
                <c:pt idx="943">
                  <c:v>29.226932999999988</c:v>
                </c:pt>
                <c:pt idx="944">
                  <c:v>29.226932999999988</c:v>
                </c:pt>
                <c:pt idx="945">
                  <c:v>29.226932999999988</c:v>
                </c:pt>
                <c:pt idx="946">
                  <c:v>29.226932999999988</c:v>
                </c:pt>
                <c:pt idx="947">
                  <c:v>29.226932999999988</c:v>
                </c:pt>
                <c:pt idx="948">
                  <c:v>29.226932999999988</c:v>
                </c:pt>
                <c:pt idx="949">
                  <c:v>29.226932999999988</c:v>
                </c:pt>
                <c:pt idx="950">
                  <c:v>29.226932999999988</c:v>
                </c:pt>
                <c:pt idx="951">
                  <c:v>29.226932999999988</c:v>
                </c:pt>
                <c:pt idx="952">
                  <c:v>29.226932999999988</c:v>
                </c:pt>
                <c:pt idx="953">
                  <c:v>29.226932999999988</c:v>
                </c:pt>
                <c:pt idx="954">
                  <c:v>29.226932999999988</c:v>
                </c:pt>
                <c:pt idx="955">
                  <c:v>29.226932999999988</c:v>
                </c:pt>
                <c:pt idx="956">
                  <c:v>29.226932999999988</c:v>
                </c:pt>
                <c:pt idx="957">
                  <c:v>29.226932999999988</c:v>
                </c:pt>
                <c:pt idx="958">
                  <c:v>29.226932999999988</c:v>
                </c:pt>
                <c:pt idx="959">
                  <c:v>29.226932999999988</c:v>
                </c:pt>
                <c:pt idx="960">
                  <c:v>29.226932999999988</c:v>
                </c:pt>
                <c:pt idx="961">
                  <c:v>29.226932999999988</c:v>
                </c:pt>
                <c:pt idx="962">
                  <c:v>29.226932999999988</c:v>
                </c:pt>
                <c:pt idx="963">
                  <c:v>29.226932999999988</c:v>
                </c:pt>
                <c:pt idx="964">
                  <c:v>29.226932999999988</c:v>
                </c:pt>
                <c:pt idx="965">
                  <c:v>29.226932999999988</c:v>
                </c:pt>
                <c:pt idx="966">
                  <c:v>29.226932999999988</c:v>
                </c:pt>
                <c:pt idx="967">
                  <c:v>29.226932999999988</c:v>
                </c:pt>
                <c:pt idx="968">
                  <c:v>29.226932999999988</c:v>
                </c:pt>
                <c:pt idx="969">
                  <c:v>29.226932999999988</c:v>
                </c:pt>
                <c:pt idx="970">
                  <c:v>29.226932999999988</c:v>
                </c:pt>
                <c:pt idx="971">
                  <c:v>29.226932999999988</c:v>
                </c:pt>
                <c:pt idx="972">
                  <c:v>29.226932999999988</c:v>
                </c:pt>
                <c:pt idx="973">
                  <c:v>29.226932999999988</c:v>
                </c:pt>
                <c:pt idx="974">
                  <c:v>29.226932999999988</c:v>
                </c:pt>
                <c:pt idx="975">
                  <c:v>29.226932999999988</c:v>
                </c:pt>
                <c:pt idx="976">
                  <c:v>29.226932999999988</c:v>
                </c:pt>
                <c:pt idx="977">
                  <c:v>29.226932999999988</c:v>
                </c:pt>
                <c:pt idx="978">
                  <c:v>29.226932999999988</c:v>
                </c:pt>
                <c:pt idx="979">
                  <c:v>29.226932999999988</c:v>
                </c:pt>
                <c:pt idx="980">
                  <c:v>29.226932999999988</c:v>
                </c:pt>
                <c:pt idx="981">
                  <c:v>29.226932999999988</c:v>
                </c:pt>
                <c:pt idx="982">
                  <c:v>29.226932999999988</c:v>
                </c:pt>
                <c:pt idx="983">
                  <c:v>29.226932999999988</c:v>
                </c:pt>
                <c:pt idx="984">
                  <c:v>29.226932999999988</c:v>
                </c:pt>
                <c:pt idx="985">
                  <c:v>29.226932999999988</c:v>
                </c:pt>
                <c:pt idx="986">
                  <c:v>29.226932999999988</c:v>
                </c:pt>
                <c:pt idx="987">
                  <c:v>29.226932999999988</c:v>
                </c:pt>
                <c:pt idx="988">
                  <c:v>29.226932999999988</c:v>
                </c:pt>
                <c:pt idx="989">
                  <c:v>29.226932999999988</c:v>
                </c:pt>
                <c:pt idx="990">
                  <c:v>29.226932999999988</c:v>
                </c:pt>
                <c:pt idx="991">
                  <c:v>29.226932999999988</c:v>
                </c:pt>
                <c:pt idx="992">
                  <c:v>29.226932999999988</c:v>
                </c:pt>
                <c:pt idx="993">
                  <c:v>29.226932999999988</c:v>
                </c:pt>
                <c:pt idx="994">
                  <c:v>29.226932999999988</c:v>
                </c:pt>
                <c:pt idx="995">
                  <c:v>29.226932999999988</c:v>
                </c:pt>
                <c:pt idx="996">
                  <c:v>29.226932999999988</c:v>
                </c:pt>
                <c:pt idx="997">
                  <c:v>29.226932999999988</c:v>
                </c:pt>
                <c:pt idx="998">
                  <c:v>29.226932999999988</c:v>
                </c:pt>
                <c:pt idx="999">
                  <c:v>29.226932999999988</c:v>
                </c:pt>
                <c:pt idx="1000">
                  <c:v>29.226932999999988</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Calculs!$W$4:$W$1004</c:f>
              <c:numCache>
                <c:formatCode>0.00</c:formatCode>
                <c:ptCount val="1001"/>
                <c:pt idx="0">
                  <c:v>55.588190581541461</c:v>
                </c:pt>
                <c:pt idx="1">
                  <c:v>55.527466350823076</c:v>
                </c:pt>
                <c:pt idx="2">
                  <c:v>55.764163103386672</c:v>
                </c:pt>
                <c:pt idx="3">
                  <c:v>56.126257189429722</c:v>
                </c:pt>
                <c:pt idx="4">
                  <c:v>56.440795851816226</c:v>
                </c:pt>
                <c:pt idx="5">
                  <c:v>56.730455487829836</c:v>
                </c:pt>
                <c:pt idx="6">
                  <c:v>57.018150833748273</c:v>
                </c:pt>
                <c:pt idx="7">
                  <c:v>57.303864290892122</c:v>
                </c:pt>
                <c:pt idx="8">
                  <c:v>57.587578543224126</c:v>
                </c:pt>
                <c:pt idx="9">
                  <c:v>57.869276556704556</c:v>
                </c:pt>
                <c:pt idx="10">
                  <c:v>58.14894157861557</c:v>
                </c:pt>
                <c:pt idx="11">
                  <c:v>58.426557136854655</c:v>
                </c:pt>
                <c:pt idx="12">
                  <c:v>58.702107039198047</c:v>
                </c:pt>
                <c:pt idx="13">
                  <c:v>58.975575372534195</c:v>
                </c:pt>
                <c:pt idx="14">
                  <c:v>59.24694650206807</c:v>
                </c:pt>
                <c:pt idx="15">
                  <c:v>59.516205070496795</c:v>
                </c:pt>
                <c:pt idx="16">
                  <c:v>59.783335997157053</c:v>
                </c:pt>
                <c:pt idx="17">
                  <c:v>60.04832447714459</c:v>
                </c:pt>
                <c:pt idx="18">
                  <c:v>60.311155980406568</c:v>
                </c:pt>
                <c:pt idx="19">
                  <c:v>60.571816250807608</c:v>
                </c:pt>
                <c:pt idx="20">
                  <c:v>60.830291305168821</c:v>
                </c:pt>
                <c:pt idx="21">
                  <c:v>61.086567432281797</c:v>
                </c:pt>
                <c:pt idx="22">
                  <c:v>61.340631191897124</c:v>
                </c:pt>
                <c:pt idx="23">
                  <c:v>61.59246941368815</c:v>
                </c:pt>
                <c:pt idx="24">
                  <c:v>61.842069196190657</c:v>
                </c:pt>
                <c:pt idx="25">
                  <c:v>62.089417905718676</c:v>
                </c:pt>
                <c:pt idx="26">
                  <c:v>62.334503175257296</c:v>
                </c:pt>
                <c:pt idx="27">
                  <c:v>62.577312903332512</c:v>
                </c:pt>
                <c:pt idx="28">
                  <c:v>62.81783525285887</c:v>
                </c:pt>
                <c:pt idx="29">
                  <c:v>63.056058649965728</c:v>
                </c:pt>
                <c:pt idx="30">
                  <c:v>63.29197178280171</c:v>
                </c:pt>
                <c:pt idx="31">
                  <c:v>63.52556360031879</c:v>
                </c:pt>
                <c:pt idx="32">
                  <c:v>63.756823311036122</c:v>
                </c:pt>
                <c:pt idx="33">
                  <c:v>63.985740381783884</c:v>
                </c:pt>
                <c:pt idx="34">
                  <c:v>64.212304536427879</c:v>
                </c:pt>
                <c:pt idx="35">
                  <c:v>64.436505754575464</c:v>
                </c:pt>
                <c:pt idx="36">
                  <c:v>64.658334270262827</c:v>
                </c:pt>
                <c:pt idx="37">
                  <c:v>64.877780570624893</c:v>
                </c:pt>
                <c:pt idx="38">
                  <c:v>65.09483539454726</c:v>
                </c:pt>
                <c:pt idx="39">
                  <c:v>65.309489731301781</c:v>
                </c:pt>
                <c:pt idx="40">
                  <c:v>65.521734819165104</c:v>
                </c:pt>
                <c:pt idx="41">
                  <c:v>65.73156214402178</c:v>
                </c:pt>
                <c:pt idx="42">
                  <c:v>65.9389634379515</c:v>
                </c:pt>
                <c:pt idx="43">
                  <c:v>66.143930677801379</c:v>
                </c:pt>
                <c:pt idx="44">
                  <c:v>66.346456083743576</c:v>
                </c:pt>
                <c:pt idx="45">
                  <c:v>66.546532117818884</c:v>
                </c:pt>
                <c:pt idx="46">
                  <c:v>66.744151482466449</c:v>
                </c:pt>
                <c:pt idx="47">
                  <c:v>66.93930711904035</c:v>
                </c:pt>
                <c:pt idx="48">
                  <c:v>67.131992206313313</c:v>
                </c:pt>
                <c:pt idx="49">
                  <c:v>67.322200158968002</c:v>
                </c:pt>
                <c:pt idx="50">
                  <c:v>67.509924626076455</c:v>
                </c:pt>
                <c:pt idx="51">
                  <c:v>67.695159489567999</c:v>
                </c:pt>
                <c:pt idx="52">
                  <c:v>67.877898862685996</c:v>
                </c:pt>
                <c:pt idx="53">
                  <c:v>68.058137088433966</c:v>
                </c:pt>
                <c:pt idx="54">
                  <c:v>68.23586873801159</c:v>
                </c:pt>
                <c:pt idx="55">
                  <c:v>68.411088609240707</c:v>
                </c:pt>
                <c:pt idx="56">
                  <c:v>68.583791724982092</c:v>
                </c:pt>
                <c:pt idx="57">
                  <c:v>68.753973331542994</c:v>
                </c:pt>
                <c:pt idx="58">
                  <c:v>68.921628897076459</c:v>
                </c:pt>
                <c:pt idx="59">
                  <c:v>69.086754109972006</c:v>
                </c:pt>
                <c:pt idx="60">
                  <c:v>69.249344877238826</c:v>
                </c:pt>
                <c:pt idx="61">
                  <c:v>69.409397322881588</c:v>
                </c:pt>
                <c:pt idx="62">
                  <c:v>69.566907786269084</c:v>
                </c:pt>
                <c:pt idx="63">
                  <c:v>69.719659017808681</c:v>
                </c:pt>
                <c:pt idx="64">
                  <c:v>69.865429251311667</c:v>
                </c:pt>
                <c:pt idx="65">
                  <c:v>70.004212398216225</c:v>
                </c:pt>
                <c:pt idx="66">
                  <c:v>70.136003651162568</c:v>
                </c:pt>
                <c:pt idx="67">
                  <c:v>70.258762793383738</c:v>
                </c:pt>
                <c:pt idx="68">
                  <c:v>70.370448794421549</c:v>
                </c:pt>
                <c:pt idx="69">
                  <c:v>70.467434499151551</c:v>
                </c:pt>
                <c:pt idx="70">
                  <c:v>70.54609557973086</c:v>
                </c:pt>
                <c:pt idx="71">
                  <c:v>70.606446941323</c:v>
                </c:pt>
                <c:pt idx="72">
                  <c:v>70.64851136303237</c:v>
                </c:pt>
                <c:pt idx="73">
                  <c:v>70.672319413049806</c:v>
                </c:pt>
                <c:pt idx="74">
                  <c:v>70.677909362887789</c:v>
                </c:pt>
                <c:pt idx="75">
                  <c:v>70.665327100790563</c:v>
                </c:pt>
                <c:pt idx="76">
                  <c:v>70.634626044402012</c:v>
                </c:pt>
                <c:pt idx="77">
                  <c:v>70.585867052774162</c:v>
                </c:pt>
                <c:pt idx="78">
                  <c:v>70.519118337796272</c:v>
                </c:pt>
                <c:pt idx="79">
                  <c:v>70.434455375124728</c:v>
                </c:pt>
                <c:pt idx="80">
                  <c:v>70.331960814691087</c:v>
                </c:pt>
                <c:pt idx="81">
                  <c:v>70.216027822730439</c:v>
                </c:pt>
                <c:pt idx="82">
                  <c:v>70.091027970323651</c:v>
                </c:pt>
                <c:pt idx="83">
                  <c:v>69.95701183351693</c:v>
                </c:pt>
                <c:pt idx="84">
                  <c:v>69.814031702006005</c:v>
                </c:pt>
                <c:pt idx="85">
                  <c:v>69.662141556048923</c:v>
                </c:pt>
                <c:pt idx="86">
                  <c:v>69.50139704351156</c:v>
                </c:pt>
                <c:pt idx="87">
                  <c:v>69.331855457053635</c:v>
                </c:pt>
                <c:pt idx="88">
                  <c:v>69.15357571146258</c:v>
                </c:pt>
                <c:pt idx="89">
                  <c:v>68.967965078761182</c:v>
                </c:pt>
                <c:pt idx="90">
                  <c:v>68.77642076117337</c:v>
                </c:pt>
                <c:pt idx="91">
                  <c:v>68.578986330034581</c:v>
                </c:pt>
                <c:pt idx="92">
                  <c:v>68.375706039595286</c:v>
                </c:pt>
                <c:pt idx="93">
                  <c:v>68.166959494110003</c:v>
                </c:pt>
                <c:pt idx="94">
                  <c:v>67.953123826397828</c:v>
                </c:pt>
                <c:pt idx="95">
                  <c:v>67.734239976021044</c:v>
                </c:pt>
                <c:pt idx="96">
                  <c:v>67.510349370908372</c:v>
                </c:pt>
                <c:pt idx="97">
                  <c:v>67.282823622246013</c:v>
                </c:pt>
                <c:pt idx="98">
                  <c:v>67.053021519072161</c:v>
                </c:pt>
                <c:pt idx="99">
                  <c:v>66.820963755758555</c:v>
                </c:pt>
                <c:pt idx="100">
                  <c:v>66.586671093091283</c:v>
                </c:pt>
                <c:pt idx="101">
                  <c:v>66.35016435698634</c:v>
                </c:pt>
                <c:pt idx="102">
                  <c:v>66.111464437229145</c:v>
                </c:pt>
                <c:pt idx="103">
                  <c:v>65.870592286237866</c:v>
                </c:pt>
                <c:pt idx="104">
                  <c:v>65.627568917850297</c:v>
                </c:pt>
                <c:pt idx="105">
                  <c:v>65.382415406134214</c:v>
                </c:pt>
                <c:pt idx="106">
                  <c:v>65.135152884221327</c:v>
                </c:pt>
                <c:pt idx="107">
                  <c:v>64.885802543164417</c:v>
                </c:pt>
                <c:pt idx="108">
                  <c:v>64.634385630817945</c:v>
                </c:pt>
                <c:pt idx="109">
                  <c:v>64.382547963313854</c:v>
                </c:pt>
                <c:pt idx="110">
                  <c:v>64.131917564967139</c:v>
                </c:pt>
                <c:pt idx="111">
                  <c:v>63.88248679900633</c:v>
                </c:pt>
                <c:pt idx="112">
                  <c:v>63.634248089526686</c:v>
                </c:pt>
                <c:pt idx="113">
                  <c:v>63.387193920907634</c:v>
                </c:pt>
                <c:pt idx="114">
                  <c:v>63.141316837236673</c:v>
                </c:pt>
                <c:pt idx="115">
                  <c:v>62.896609441739621</c:v>
                </c:pt>
                <c:pt idx="116">
                  <c:v>62.653064396217324</c:v>
                </c:pt>
                <c:pt idx="117">
                  <c:v>62.410674420488498</c:v>
                </c:pt>
                <c:pt idx="118">
                  <c:v>62.169432291838994</c:v>
                </c:pt>
                <c:pt idx="119">
                  <c:v>61.929330844476929</c:v>
                </c:pt>
                <c:pt idx="120">
                  <c:v>61.690362968993824</c:v>
                </c:pt>
                <c:pt idx="121">
                  <c:v>61.452521611832104</c:v>
                </c:pt>
                <c:pt idx="122">
                  <c:v>61.215799774757819</c:v>
                </c:pt>
                <c:pt idx="123">
                  <c:v>60.980190514339917</c:v>
                </c:pt>
                <c:pt idx="124">
                  <c:v>60.745686941434535</c:v>
                </c:pt>
                <c:pt idx="125">
                  <c:v>60.512282220675459</c:v>
                </c:pt>
                <c:pt idx="126">
                  <c:v>60.279969569970085</c:v>
                </c:pt>
                <c:pt idx="127">
                  <c:v>60.048742260000481</c:v>
                </c:pt>
                <c:pt idx="128">
                  <c:v>59.818593613730634</c:v>
                </c:pt>
                <c:pt idx="129">
                  <c:v>59.589517005918339</c:v>
                </c:pt>
                <c:pt idx="130">
                  <c:v>59.36150586263296</c:v>
                </c:pt>
                <c:pt idx="131">
                  <c:v>59.134553660778096</c:v>
                </c:pt>
                <c:pt idx="132">
                  <c:v>58.908653927619632</c:v>
                </c:pt>
                <c:pt idx="133">
                  <c:v>58.683800240318739</c:v>
                </c:pt>
                <c:pt idx="134">
                  <c:v>58.459986225470054</c:v>
                </c:pt>
                <c:pt idx="135">
                  <c:v>58.237205558644959</c:v>
                </c:pt>
                <c:pt idx="136">
                  <c:v>58.015451963939334</c:v>
                </c:pt>
                <c:pt idx="137">
                  <c:v>57.794719213526868</c:v>
                </c:pt>
                <c:pt idx="138">
                  <c:v>57.575001127216453</c:v>
                </c:pt>
                <c:pt idx="139">
                  <c:v>57.356291572014968</c:v>
                </c:pt>
                <c:pt idx="140">
                  <c:v>57.138584461694386</c:v>
                </c:pt>
                <c:pt idx="141">
                  <c:v>56.921873756363475</c:v>
                </c:pt>
                <c:pt idx="142">
                  <c:v>56.706153462044362</c:v>
                </c:pt>
                <c:pt idx="143">
                  <c:v>56.491417630253444</c:v>
                </c:pt>
                <c:pt idx="144">
                  <c:v>56.277660357586683</c:v>
                </c:pt>
                <c:pt idx="145">
                  <c:v>56.064875785309518</c:v>
                </c:pt>
                <c:pt idx="146">
                  <c:v>55.853058098951038</c:v>
                </c:pt>
                <c:pt idx="147">
                  <c:v>55.642201527902387</c:v>
                </c:pt>
                <c:pt idx="148">
                  <c:v>55.432300345019527</c:v>
                </c:pt>
                <c:pt idx="149">
                  <c:v>55.223348866230197</c:v>
                </c:pt>
                <c:pt idx="150">
                  <c:v>55.015341450144945</c:v>
                </c:pt>
                <c:pt idx="151">
                  <c:v>54.808272497672412</c:v>
                </c:pt>
                <c:pt idx="152">
                  <c:v>54.602136451638394</c:v>
                </c:pt>
                <c:pt idx="153">
                  <c:v>54.396927796409294</c:v>
                </c:pt>
                <c:pt idx="154">
                  <c:v>54.192641057519189</c:v>
                </c:pt>
                <c:pt idx="155">
                  <c:v>53.98927080130094</c:v>
                </c:pt>
                <c:pt idx="156">
                  <c:v>53.786811634521221</c:v>
                </c:pt>
                <c:pt idx="157">
                  <c:v>53.585258204019247</c:v>
                </c:pt>
                <c:pt idx="158">
                  <c:v>53.384605196349298</c:v>
                </c:pt>
                <c:pt idx="159">
                  <c:v>53.184847337427094</c:v>
                </c:pt>
                <c:pt idx="160">
                  <c:v>52.985979392179686</c:v>
                </c:pt>
                <c:pt idx="161">
                  <c:v>52.787996164199029</c:v>
                </c:pt>
                <c:pt idx="162">
                  <c:v>52.590892495399217</c:v>
                </c:pt>
                <c:pt idx="163">
                  <c:v>52.394663265677124</c:v>
                </c:pt>
                <c:pt idx="164">
                  <c:v>52.199303392576816</c:v>
                </c:pt>
                <c:pt idx="165">
                  <c:v>52.004807830957091</c:v>
                </c:pt>
                <c:pt idx="166">
                  <c:v>51.811171572662616</c:v>
                </c:pt>
                <c:pt idx="167">
                  <c:v>51.618389646198672</c:v>
                </c:pt>
                <c:pt idx="168">
                  <c:v>51.426457116408734</c:v>
                </c:pt>
                <c:pt idx="169">
                  <c:v>51.235369084155842</c:v>
                </c:pt>
                <c:pt idx="170">
                  <c:v>51.045120686006882</c:v>
                </c:pt>
                <c:pt idx="171">
                  <c:v>50.855707093920408</c:v>
                </c:pt>
                <c:pt idx="172">
                  <c:v>50.667123514937501</c:v>
                </c:pt>
                <c:pt idx="173">
                  <c:v>50.479365190875598</c:v>
                </c:pt>
                <c:pt idx="174">
                  <c:v>50.292427398025808</c:v>
                </c:pt>
                <c:pt idx="175">
                  <c:v>50.106305446853135</c:v>
                </c:pt>
                <c:pt idx="176">
                  <c:v>49.920994681699575</c:v>
                </c:pt>
                <c:pt idx="177">
                  <c:v>49.736490480490566</c:v>
                </c:pt>
                <c:pt idx="178">
                  <c:v>49.552788254444089</c:v>
                </c:pt>
                <c:pt idx="179">
                  <c:v>49.369883447782975</c:v>
                </c:pt>
                <c:pt idx="180">
                  <c:v>49.18777153744994</c:v>
                </c:pt>
                <c:pt idx="181">
                  <c:v>49.006448032825503</c:v>
                </c:pt>
                <c:pt idx="182">
                  <c:v>48.825908475448884</c:v>
                </c:pt>
                <c:pt idx="183">
                  <c:v>48.646148438741612</c:v>
                </c:pt>
                <c:pt idx="184">
                  <c:v>48.467163527733796</c:v>
                </c:pt>
                <c:pt idx="185">
                  <c:v>48.288949378793383</c:v>
                </c:pt>
                <c:pt idx="186">
                  <c:v>48.111501659357977</c:v>
                </c:pt>
                <c:pt idx="187">
                  <c:v>47.934816067669338</c:v>
                </c:pt>
                <c:pt idx="188">
                  <c:v>47.758888332510558</c:v>
                </c:pt>
                <c:pt idx="189">
                  <c:v>47.583714212945814</c:v>
                </c:pt>
                <c:pt idx="190">
                  <c:v>47.40928949806284</c:v>
                </c:pt>
                <c:pt idx="191">
                  <c:v>47.235610006717856</c:v>
                </c:pt>
                <c:pt idx="192">
                  <c:v>47.062671587283027</c:v>
                </c:pt>
                <c:pt idx="193">
                  <c:v>46.890470117396312</c:v>
                </c:pt>
                <c:pt idx="194">
                  <c:v>46.719001503714182</c:v>
                </c:pt>
                <c:pt idx="195">
                  <c:v>46.548261681666268</c:v>
                </c:pt>
                <c:pt idx="196">
                  <c:v>46.378246615212895</c:v>
                </c:pt>
                <c:pt idx="197">
                  <c:v>46.208952296604629</c:v>
                </c:pt>
                <c:pt idx="198">
                  <c:v>46.040374746144373</c:v>
                </c:pt>
                <c:pt idx="199">
                  <c:v>45.87251001195186</c:v>
                </c:pt>
                <c:pt idx="200">
                  <c:v>45.705354169730285</c:v>
                </c:pt>
                <c:pt idx="201">
                  <c:v>44.056132655923733</c:v>
                </c:pt>
                <c:pt idx="202">
                  <c:v>42.475248663361853</c:v>
                </c:pt>
                <c:pt idx="203">
                  <c:v>40.959056887071711</c:v>
                </c:pt>
                <c:pt idx="204">
                  <c:v>39.504155918468015</c:v>
                </c:pt>
                <c:pt idx="205">
                  <c:v>38.107368875346829</c:v>
                </c:pt>
                <c:pt idx="206">
                  <c:v>36.76572581076389</c:v>
                </c:pt>
                <c:pt idx="207">
                  <c:v>35.476447716023308</c:v>
                </c:pt>
                <c:pt idx="208">
                  <c:v>34.236931954366064</c:v>
                </c:pt>
                <c:pt idx="209">
                  <c:v>33.044738980598531</c:v>
                </c:pt>
                <c:pt idx="210">
                  <c:v>31.897580218210649</c:v>
                </c:pt>
                <c:pt idx="211">
                  <c:v>30.793306979823463</c:v>
                </c:pt>
                <c:pt idx="212">
                  <c:v>29.729900329347526</c:v>
                </c:pt>
                <c:pt idx="213">
                  <c:v>28.705461795259271</c:v>
                </c:pt>
                <c:pt idx="214">
                  <c:v>27.718204854114045</c:v>
                </c:pt>
                <c:pt idx="215">
                  <c:v>26.7664471119792</c:v>
                </c:pt>
                <c:pt idx="216">
                  <c:v>25.848603119037993</c:v>
                </c:pt>
                <c:pt idx="217">
                  <c:v>24.963177759312185</c:v>
                </c:pt>
                <c:pt idx="218">
                  <c:v>24.108760163383899</c:v>
                </c:pt>
                <c:pt idx="219">
                  <c:v>23.284018097265097</c:v>
                </c:pt>
                <c:pt idx="220">
                  <c:v>22.487692785242896</c:v>
                </c:pt>
                <c:pt idx="221">
                  <c:v>21.71859412869523</c:v>
                </c:pt>
                <c:pt idx="222">
                  <c:v>20.975596286584231</c:v>
                </c:pt>
                <c:pt idx="223">
                  <c:v>20.257633586647877</c:v>
                </c:pt>
                <c:pt idx="224">
                  <c:v>19.563696739271787</c:v>
                </c:pt>
                <c:pt idx="225">
                  <c:v>18.892829328671944</c:v>
                </c:pt>
                <c:pt idx="226">
                  <c:v>18.24412455839245</c:v>
                </c:pt>
                <c:pt idx="227">
                  <c:v>17.616722230251355</c:v>
                </c:pt>
                <c:pt idx="228">
                  <c:v>17.009805937779124</c:v>
                </c:pt>
                <c:pt idx="229">
                  <c:v>16.422600456912932</c:v>
                </c:pt>
                <c:pt idx="230">
                  <c:v>15.854369318257037</c:v>
                </c:pt>
                <c:pt idx="231">
                  <c:v>15.304412546613461</c:v>
                </c:pt>
                <c:pt idx="232">
                  <c:v>14.772064554744462</c:v>
                </c:pt>
                <c:pt idx="233">
                  <c:v>14.256692179464032</c:v>
                </c:pt>
                <c:pt idx="234">
                  <c:v>13.757692849182103</c:v>
                </c:pt>
                <c:pt idx="235">
                  <c:v>13.274492872953724</c:v>
                </c:pt>
                <c:pt idx="236">
                  <c:v>12.806545841927381</c:v>
                </c:pt>
                <c:pt idx="237">
                  <c:v>12.353331134848899</c:v>
                </c:pt>
                <c:pt idx="238">
                  <c:v>11.91435251997023</c:v>
                </c:pt>
                <c:pt idx="239">
                  <c:v>11.489136846340884</c:v>
                </c:pt>
                <c:pt idx="240">
                  <c:v>11.077232818032059</c:v>
                </c:pt>
                <c:pt idx="241">
                  <c:v>10.67820984536346</c:v>
                </c:pt>
                <c:pt idx="242">
                  <c:v>10.291656967677065</c:v>
                </c:pt>
                <c:pt idx="243">
                  <c:v>9.9171818426341094</c:v>
                </c:pt>
                <c:pt idx="244">
                  <c:v>9.554409797405631</c:v>
                </c:pt>
                <c:pt idx="245">
                  <c:v>9.2029829374869507</c:v>
                </c:pt>
                <c:pt idx="246">
                  <c:v>8.8625593091952499</c:v>
                </c:pt>
                <c:pt idx="247">
                  <c:v>8.5328121122101308</c:v>
                </c:pt>
                <c:pt idx="248">
                  <c:v>8.2134289587922176</c:v>
                </c:pt>
                <c:pt idx="249">
                  <c:v>7.9041111765667651</c:v>
                </c:pt>
                <c:pt idx="250">
                  <c:v>7.6045731519900919</c:v>
                </c:pt>
                <c:pt idx="251">
                  <c:v>7.3145417118282197</c:v>
                </c:pt>
                <c:pt idx="252">
                  <c:v>7.0337555401712279</c:v>
                </c:pt>
                <c:pt idx="253">
                  <c:v>6.7619646286847974</c:v>
                </c:pt>
                <c:pt idx="254">
                  <c:v>6.4989297579639338</c:v>
                </c:pt>
                <c:pt idx="255">
                  <c:v>6.2444220080039763</c:v>
                </c:pt>
                <c:pt idx="256">
                  <c:v>5.9982222959415958</c:v>
                </c:pt>
                <c:pt idx="257">
                  <c:v>5.7601209393452146</c:v>
                </c:pt>
                <c:pt idx="258">
                  <c:v>5.5299172434503747</c:v>
                </c:pt>
                <c:pt idx="259">
                  <c:v>5.3074191108421953</c:v>
                </c:pt>
                <c:pt idx="260">
                  <c:v>5.0924426721848857</c:v>
                </c:pt>
                <c:pt idx="261">
                  <c:v>4.8848119366879397</c:v>
                </c:pt>
                <c:pt idx="262">
                  <c:v>4.6843584610807172</c:v>
                </c:pt>
                <c:pt idx="263">
                  <c:v>4.4909210359420975</c:v>
                </c:pt>
                <c:pt idx="264">
                  <c:v>4.3043453883003577</c:v>
                </c:pt>
                <c:pt idx="265">
                  <c:v>4.1244838994806674</c:v>
                </c:pt>
                <c:pt idx="266">
                  <c:v>3.9511953372340143</c:v>
                </c:pt>
                <c:pt idx="267">
                  <c:v>3.7843446012323376</c:v>
                </c:pt>
                <c:pt idx="268">
                  <c:v>3.6238024810603853</c:v>
                </c:pt>
                <c:pt idx="269">
                  <c:v>3.4694454258755889</c:v>
                </c:pt>
                <c:pt idx="270">
                  <c:v>3.3211553249433345</c:v>
                </c:pt>
                <c:pt idx="271">
                  <c:v>3.1788192982865571</c:v>
                </c:pt>
                <c:pt idx="272">
                  <c:v>3.0423294967157406</c:v>
                </c:pt>
                <c:pt idx="273">
                  <c:v>2.9115829105286077</c:v>
                </c:pt>
                <c:pt idx="274">
                  <c:v>2.7864811861878209</c:v>
                </c:pt>
                <c:pt idx="275">
                  <c:v>2.6669304503005202</c:v>
                </c:pt>
                <c:pt idx="276">
                  <c:v>2.5528411402355027</c:v>
                </c:pt>
                <c:pt idx="277">
                  <c:v>2.4441278407226616</c:v>
                </c:pt>
                <c:pt idx="278">
                  <c:v>2.3407091257854749</c:v>
                </c:pt>
                <c:pt idx="279">
                  <c:v>2.2425074053611573</c:v>
                </c:pt>
                <c:pt idx="280">
                  <c:v>2.1494487759654244</c:v>
                </c:pt>
                <c:pt idx="281">
                  <c:v>2.0614628747602994</c:v>
                </c:pt>
                <c:pt idx="282">
                  <c:v>1.9784827363851094</c:v>
                </c:pt>
                <c:pt idx="283">
                  <c:v>1.9004446519140061</c:v>
                </c:pt>
                <c:pt idx="284">
                  <c:v>1.827288029309375</c:v>
                </c:pt>
                <c:pt idx="285">
                  <c:v>1.7589552547512584</c:v>
                </c:pt>
                <c:pt idx="286">
                  <c:v>1.6953915542401379</c:v>
                </c:pt>
                <c:pt idx="287">
                  <c:v>1.6365448548964614</c:v>
                </c:pt>
                <c:pt idx="288">
                  <c:v>1.5823656454172557</c:v>
                </c:pt>
                <c:pt idx="289">
                  <c:v>1.5328068352003246</c:v>
                </c:pt>
                <c:pt idx="290">
                  <c:v>1.4878236117119146</c:v>
                </c:pt>
                <c:pt idx="291">
                  <c:v>1.4473732957558749</c:v>
                </c:pt>
                <c:pt idx="292">
                  <c:v>1.411415194402194</c:v>
                </c:pt>
                <c:pt idx="293">
                  <c:v>1.3799104514501805</c:v>
                </c:pt>
                <c:pt idx="294">
                  <c:v>1.3528218954350384</c:v>
                </c:pt>
                <c:pt idx="295">
                  <c:v>1.3301138853334054</c:v>
                </c:pt>
                <c:pt idx="296">
                  <c:v>1.3117521542789059</c:v>
                </c:pt>
                <c:pt idx="297">
                  <c:v>1.2977036517570515</c:v>
                </c:pt>
                <c:pt idx="298">
                  <c:v>1.2879363849025349</c:v>
                </c:pt>
                <c:pt idx="299">
                  <c:v>1.2824192596630837</c:v>
                </c:pt>
                <c:pt idx="300">
                  <c:v>1.2811219227143691</c:v>
                </c:pt>
                <c:pt idx="301">
                  <c:v>1.2840146051025587</c:v>
                </c:pt>
                <c:pt idx="302">
                  <c:v>1.2910679686488682</c:v>
                </c:pt>
                <c:pt idx="303">
                  <c:v>1.3022529561701115</c:v>
                </c:pt>
                <c:pt idx="304">
                  <c:v>1.3175406465494968</c:v>
                </c:pt>
                <c:pt idx="305">
                  <c:v>1.3369021156344147</c:v>
                </c:pt>
                <c:pt idx="306">
                  <c:v>1.3603083038467814</c:v>
                </c:pt>
                <c:pt idx="307">
                  <c:v>1.38772989127305</c:v>
                </c:pt>
                <c:pt idx="308">
                  <c:v>1.4191371808629962</c:v>
                </c:pt>
                <c:pt idx="309">
                  <c:v>1.4544999902171321</c:v>
                </c:pt>
                <c:pt idx="310">
                  <c:v>1.4937875522903361</c:v>
                </c:pt>
                <c:pt idx="311">
                  <c:v>1.5369684251913041</c:v>
                </c:pt>
                <c:pt idx="312">
                  <c:v>1.5840104111197189</c:v>
                </c:pt>
                <c:pt idx="313">
                  <c:v>1.6348804843600786</c:v>
                </c:pt>
                <c:pt idx="314">
                  <c:v>1.6895447281456539</c:v>
                </c:pt>
                <c:pt idx="315">
                  <c:v>1.747968280119385</c:v>
                </c:pt>
                <c:pt idx="316">
                  <c:v>1.8101152860506329</c:v>
                </c:pt>
                <c:pt idx="317">
                  <c:v>1.8759488614166677</c:v>
                </c:pt>
                <c:pt idx="318">
                  <c:v>1.9454310604237863</c:v>
                </c:pt>
                <c:pt idx="319">
                  <c:v>2.0185228520230361</c:v>
                </c:pt>
                <c:pt idx="320">
                  <c:v>2.0951841024673765</c:v>
                </c:pt>
                <c:pt idx="321">
                  <c:v>2.1753735639584413</c:v>
                </c:pt>
                <c:pt idx="322">
                  <c:v>2.259048868939812</c:v>
                </c:pt>
                <c:pt idx="323">
                  <c:v>2.3461665296079466</c:v>
                </c:pt>
                <c:pt idx="324">
                  <c:v>2.4366819422300154</c:v>
                </c:pt>
                <c:pt idx="325">
                  <c:v>2.5305493958784595</c:v>
                </c:pt>
                <c:pt idx="326">
                  <c:v>2.627722085214069</c:v>
                </c:pt>
                <c:pt idx="327">
                  <c:v>2.7281521269718692</c:v>
                </c:pt>
                <c:pt idx="328">
                  <c:v>2.8317905798264635</c:v>
                </c:pt>
                <c:pt idx="329">
                  <c:v>2.9385874673351986</c:v>
                </c:pt>
                <c:pt idx="330">
                  <c:v>3.0484918036783841</c:v>
                </c:pt>
                <c:pt idx="331">
                  <c:v>3.1614516219353748</c:v>
                </c:pt>
                <c:pt idx="332">
                  <c:v>3.2774140046537839</c:v>
                </c:pt>
                <c:pt idx="333">
                  <c:v>3.3963251164860937</c:v>
                </c:pt>
                <c:pt idx="334">
                  <c:v>3.5181302386837063</c:v>
                </c:pt>
                <c:pt idx="335">
                  <c:v>3.642773805252935</c:v>
                </c:pt>
                <c:pt idx="336">
                  <c:v>3.7701994405906287</c:v>
                </c:pt>
                <c:pt idx="337">
                  <c:v>3.9003499984292751</c:v>
                </c:pt>
                <c:pt idx="338">
                  <c:v>4.0331676019324192</c:v>
                </c:pt>
                <c:pt idx="339">
                  <c:v>4.1685936847913476</c:v>
                </c:pt>
                <c:pt idx="340">
                  <c:v>4.3065690331831368</c:v>
                </c:pt>
                <c:pt idx="341">
                  <c:v>4.4470338284586237</c:v>
                </c:pt>
                <c:pt idx="342">
                  <c:v>4.5899276904365625</c:v>
                </c:pt>
                <c:pt idx="343">
                  <c:v>4.7351897211872416</c:v>
                </c:pt>
                <c:pt idx="344">
                  <c:v>4.8827585491955059</c:v>
                </c:pt>
                <c:pt idx="345">
                  <c:v>5.0325723737990113</c:v>
                </c:pt>
                <c:pt idx="346">
                  <c:v>5.1845690098032566</c:v>
                </c:pt>
                <c:pt idx="347">
                  <c:v>5.3386859321801285</c:v>
                </c:pt>
                <c:pt idx="348">
                  <c:v>5.494860320761612</c:v>
                </c:pt>
                <c:pt idx="349">
                  <c:v>5.6530291048448751</c:v>
                </c:pt>
                <c:pt idx="350">
                  <c:v>5.813129007629418</c:v>
                </c:pt>
                <c:pt idx="351">
                  <c:v>5.9750965904109616</c:v>
                </c:pt>
                <c:pt idx="352">
                  <c:v>6.1388682964607995</c:v>
                </c:pt>
                <c:pt idx="353">
                  <c:v>6.3043804945231141</c:v>
                </c:pt>
                <c:pt idx="354">
                  <c:v>6.4715695218662859</c:v>
                </c:pt>
                <c:pt idx="355">
                  <c:v>6.6403717268278371</c:v>
                </c:pt>
                <c:pt idx="356">
                  <c:v>6.8107235107959569</c:v>
                </c:pt>
                <c:pt idx="357">
                  <c:v>6.9825613695738573</c:v>
                </c:pt>
                <c:pt idx="358">
                  <c:v>7.1558219340763793</c:v>
                </c:pt>
                <c:pt idx="359">
                  <c:v>7.3304420103113239</c:v>
                </c:pt>
                <c:pt idx="360">
                  <c:v>7.5063586186011717</c:v>
                </c:pt>
                <c:pt idx="361">
                  <c:v>7.6835090320034602</c:v>
                </c:pt>
                <c:pt idx="362">
                  <c:v>7.861830813891407</c:v>
                </c:pt>
                <c:pt idx="363">
                  <c:v>8.0412618546587744</c:v>
                </c:pt>
                <c:pt idx="364">
                  <c:v>8.2217404075159788</c:v>
                </c:pt>
                <c:pt idx="365">
                  <c:v>8.4032051233470604</c:v>
                </c:pt>
                <c:pt idx="366">
                  <c:v>8.5855950845997135</c:v>
                </c:pt>
                <c:pt idx="367">
                  <c:v>8.7688498381832467</c:v>
                </c:pt>
                <c:pt idx="368">
                  <c:v>8.9529094273518002</c:v>
                </c:pt>
                <c:pt idx="369">
                  <c:v>9.1377144225525662</c:v>
                </c:pt>
                <c:pt idx="370">
                  <c:v>9.3232059512213166</c:v>
                </c:pt>
                <c:pt idx="371">
                  <c:v>9.509325726509644</c:v>
                </c:pt>
                <c:pt idx="372">
                  <c:v>9.6960160749308333</c:v>
                </c:pt>
                <c:pt idx="373">
                  <c:v>9.8832199629133903</c:v>
                </c:pt>
                <c:pt idx="374">
                  <c:v>10.07088102225336</c:v>
                </c:pt>
                <c:pt idx="375">
                  <c:v>10.258943574458765</c:v>
                </c:pt>
                <c:pt idx="376">
                  <c:v>10.44735265398154</c:v>
                </c:pt>
                <c:pt idx="377">
                  <c:v>10.636054030334133</c:v>
                </c:pt>
                <c:pt idx="378">
                  <c:v>10.824994229090077</c:v>
                </c:pt>
                <c:pt idx="379">
                  <c:v>11.014120551769453</c:v>
                </c:pt>
                <c:pt idx="380">
                  <c:v>11.2033810946121</c:v>
                </c:pt>
                <c:pt idx="381">
                  <c:v>11.392724766243024</c:v>
                </c:pt>
                <c:pt idx="382">
                  <c:v>11.582101304236074</c:v>
                </c:pt>
                <c:pt idx="383">
                  <c:v>11.771461290583652</c:v>
                </c:pt>
                <c:pt idx="384">
                  <c:v>11.960756166081479</c:v>
                </c:pt>
                <c:pt idx="385">
                  <c:v>12.149938243639058</c:v>
                </c:pt>
                <c:pt idx="386">
                  <c:v>12.338960720527735</c:v>
                </c:pt>
                <c:pt idx="387">
                  <c:v>12.527777689579613</c:v>
                </c:pt>
                <c:pt idx="388">
                  <c:v>12.716344149351457</c:v>
                </c:pt>
                <c:pt idx="389">
                  <c:v>12.90461601326952</c:v>
                </c:pt>
                <c:pt idx="390">
                  <c:v>13.09255011777149</c:v>
                </c:pt>
                <c:pt idx="391">
                  <c:v>13.280104229463385</c:v>
                </c:pt>
                <c:pt idx="392">
                  <c:v>13.467237051309885</c:v>
                </c:pt>
                <c:pt idx="393">
                  <c:v>13.65390822787734</c:v>
                </c:pt>
                <c:pt idx="394">
                  <c:v>13.840078349649749</c:v>
                </c:pt>
                <c:pt idx="395">
                  <c:v>14.025708956438645</c:v>
                </c:pt>
                <c:pt idx="396">
                  <c:v>14.210762539908215</c:v>
                </c:pt>
                <c:pt idx="397">
                  <c:v>14.395202545238094</c:v>
                </c:pt>
                <c:pt idx="398">
                  <c:v>14.578993371946369</c:v>
                </c:pt>
                <c:pt idx="399">
                  <c:v>14.762100373895924</c:v>
                </c:pt>
                <c:pt idx="400">
                  <c:v>14.94448985850785</c:v>
                </c:pt>
                <c:pt idx="401">
                  <c:v>15.126129085205751</c:v>
                </c:pt>
                <c:pt idx="402">
                  <c:v>15.30698626311524</c:v>
                </c:pt>
                <c:pt idx="403">
                  <c:v>15.487030548043158</c:v>
                </c:pt>
                <c:pt idx="404">
                  <c:v>15.666232038761075</c:v>
                </c:pt>
                <c:pt idx="405">
                  <c:v>15.844561772618139</c:v>
                </c:pt>
                <c:pt idx="406">
                  <c:v>16.021991720507966</c:v>
                </c:pt>
                <c:pt idx="407">
                  <c:v>16.198494781214741</c:v>
                </c:pt>
                <c:pt idx="408">
                  <c:v>16.374044775163402</c:v>
                </c:pt>
                <c:pt idx="409">
                  <c:v>16.548616437598966</c:v>
                </c:pt>
                <c:pt idx="410">
                  <c:v>16.722185411219787</c:v>
                </c:pt>
                <c:pt idx="411">
                  <c:v>16.894728238289492</c:v>
                </c:pt>
                <c:pt idx="412">
                  <c:v>17.066222352252296</c:v>
                </c:pt>
                <c:pt idx="413">
                  <c:v>17.236646068875991</c:v>
                </c:pt>
                <c:pt idx="414">
                  <c:v>17.405978576946829</c:v>
                </c:pt>
                <c:pt idx="415">
                  <c:v>17.574199928540221</c:v>
                </c:pt>
                <c:pt idx="416">
                  <c:v>17.741291028890917</c:v>
                </c:pt>
                <c:pt idx="417">
                  <c:v>17.90723362588594</c:v>
                </c:pt>
                <c:pt idx="418">
                  <c:v>18.072010299203232</c:v>
                </c:pt>
                <c:pt idx="419">
                  <c:v>18.235604449118739</c:v>
                </c:pt>
                <c:pt idx="420">
                  <c:v>18.398000285004024</c:v>
                </c:pt>
                <c:pt idx="421">
                  <c:v>18.559182813536346</c:v>
                </c:pt>
                <c:pt idx="422">
                  <c:v>18.719137826642463</c:v>
                </c:pt>
                <c:pt idx="423">
                  <c:v>18.87785188919727</c:v>
                </c:pt>
                <c:pt idx="424">
                  <c:v>19.035312326497674</c:v>
                </c:pt>
                <c:pt idx="425">
                  <c:v>19.191507211531633</c:v>
                </c:pt>
                <c:pt idx="426">
                  <c:v>19.346425352062102</c:v>
                </c:pt>
                <c:pt idx="427">
                  <c:v>19.500056277544701</c:v>
                </c:pt>
                <c:pt idx="428">
                  <c:v>19.652390225897793</c:v>
                </c:pt>
                <c:pt idx="429">
                  <c:v>19.803418130142955</c:v>
                </c:pt>
                <c:pt idx="430">
                  <c:v>19.953131604933162</c:v>
                </c:pt>
                <c:pt idx="431">
                  <c:v>20.101522932986004</c:v>
                </c:pt>
                <c:pt idx="432">
                  <c:v>20.248585051437971</c:v>
                </c:pt>
                <c:pt idx="433">
                  <c:v>20.394311538136034</c:v>
                </c:pt>
                <c:pt idx="434">
                  <c:v>20.538696597881714</c:v>
                </c:pt>
                <c:pt idx="435">
                  <c:v>20.681735048642519</c:v>
                </c:pt>
                <c:pt idx="436">
                  <c:v>20.823422307745084</c:v>
                </c:pt>
                <c:pt idx="437">
                  <c:v>20.963754378063719</c:v>
                </c:pt>
                <c:pt idx="438">
                  <c:v>21.102727834217649</c:v>
                </c:pt>
                <c:pt idx="439">
                  <c:v>21.240339808789614</c:v>
                </c:pt>
                <c:pt idx="440">
                  <c:v>21.376587978578058</c:v>
                </c:pt>
                <c:pt idx="441">
                  <c:v>21.511470550894565</c:v>
                </c:pt>
                <c:pt idx="442">
                  <c:v>21.64498624991753</c:v>
                </c:pt>
                <c:pt idx="443">
                  <c:v>21.777134303113016</c:v>
                </c:pt>
                <c:pt idx="444">
                  <c:v>21.907914427732695</c:v>
                </c:pt>
                <c:pt idx="445">
                  <c:v>22.037326817398501</c:v>
                </c:pt>
                <c:pt idx="446">
                  <c:v>22.165372128783307</c:v>
                </c:pt>
                <c:pt idx="447">
                  <c:v>22.292051468396224</c:v>
                </c:pt>
                <c:pt idx="448">
                  <c:v>22.41736637948074</c:v>
                </c:pt>
                <c:pt idx="449">
                  <c:v>22.541318829033372</c:v>
                </c:pt>
                <c:pt idx="450">
                  <c:v>22.663911194950231</c:v>
                </c:pt>
                <c:pt idx="451">
                  <c:v>22.785146253308355</c:v>
                </c:pt>
                <c:pt idx="452">
                  <c:v>22.905027165788159</c:v>
                </c:pt>
                <c:pt idx="453">
                  <c:v>23.023557467243016</c:v>
                </c:pt>
                <c:pt idx="454">
                  <c:v>23.140741053421589</c:v>
                </c:pt>
                <c:pt idx="455">
                  <c:v>23.256582168848233</c:v>
                </c:pt>
                <c:pt idx="456">
                  <c:v>23.371085394865883</c:v>
                </c:pt>
                <c:pt idx="457">
                  <c:v>23.484255637846385</c:v>
                </c:pt>
                <c:pt idx="458">
                  <c:v>23.596098117571852</c:v>
                </c:pt>
                <c:pt idx="459">
                  <c:v>23.706618355791047</c:v>
                </c:pt>
                <c:pt idx="460">
                  <c:v>23.815822164954056</c:v>
                </c:pt>
                <c:pt idx="461">
                  <c:v>23.92371563712819</c:v>
                </c:pt>
                <c:pt idx="462">
                  <c:v>24.030305133098025</c:v>
                </c:pt>
                <c:pt idx="463">
                  <c:v>24.135597271651726</c:v>
                </c:pt>
                <c:pt idx="464">
                  <c:v>24.239598919055922</c:v>
                </c:pt>
                <c:pt idx="465">
                  <c:v>24.342317178720918</c:v>
                </c:pt>
                <c:pt idx="466">
                  <c:v>24.443759381057617</c:v>
                </c:pt>
                <c:pt idx="467">
                  <c:v>24.543933073527661</c:v>
                </c:pt>
                <c:pt idx="468">
                  <c:v>24.642846010887521</c:v>
                </c:pt>
                <c:pt idx="469">
                  <c:v>24.740506145627453</c:v>
                </c:pt>
                <c:pt idx="470">
                  <c:v>24.836921618605889</c:v>
                </c:pt>
                <c:pt idx="471">
                  <c:v>24.932100749879329</c:v>
                </c:pt>
                <c:pt idx="472">
                  <c:v>25.026052029728014</c:v>
                </c:pt>
                <c:pt idx="473">
                  <c:v>25.118784109877286</c:v>
                </c:pt>
                <c:pt idx="474">
                  <c:v>25.210305794913978</c:v>
                </c:pt>
                <c:pt idx="475">
                  <c:v>25.300626033897828</c:v>
                </c:pt>
                <c:pt idx="476">
                  <c:v>25.389753912166732</c:v>
                </c:pt>
                <c:pt idx="477">
                  <c:v>25.477698643335358</c:v>
                </c:pt>
                <c:pt idx="478">
                  <c:v>25.564469561485932</c:v>
                </c:pt>
                <c:pt idx="479">
                  <c:v>25.650076113550007</c:v>
                </c:pt>
                <c:pt idx="480">
                  <c:v>25.734527851880042</c:v>
                </c:pt>
                <c:pt idx="481">
                  <c:v>25.817834427009142</c:v>
                </c:pt>
                <c:pt idx="482">
                  <c:v>25.900005580597789</c:v>
                </c:pt>
                <c:pt idx="483">
                  <c:v>25.981051138565284</c:v>
                </c:pt>
                <c:pt idx="484">
                  <c:v>26.060981004404731</c:v>
                </c:pt>
                <c:pt idx="485">
                  <c:v>26.139805152679312</c:v>
                </c:pt>
                <c:pt idx="486">
                  <c:v>26.217533622697825</c:v>
                </c:pt>
                <c:pt idx="487">
                  <c:v>26.294176512367653</c:v>
                </c:pt>
                <c:pt idx="488">
                  <c:v>26.369743972222871</c:v>
                </c:pt>
                <c:pt idx="489">
                  <c:v>26.444246199625201</c:v>
                </c:pt>
                <c:pt idx="490">
                  <c:v>26.517693433135676</c:v>
                </c:pt>
                <c:pt idx="491">
                  <c:v>26.590095947054404</c:v>
                </c:pt>
                <c:pt idx="492">
                  <c:v>26.661464046126273</c:v>
                </c:pt>
                <c:pt idx="493">
                  <c:v>26.731808060409978</c:v>
                </c:pt>
                <c:pt idx="494">
                  <c:v>26.801138340307798</c:v>
                </c:pt>
                <c:pt idx="495">
                  <c:v>26.869465251753773</c:v>
                </c:pt>
                <c:pt idx="496">
                  <c:v>26.936799171557393</c:v>
                </c:pt>
                <c:pt idx="497">
                  <c:v>27.003150482900399</c:v>
                </c:pt>
                <c:pt idx="498">
                  <c:v>27.068529570983962</c:v>
                </c:pt>
                <c:pt idx="499">
                  <c:v>27.13294681882352</c:v>
                </c:pt>
                <c:pt idx="500">
                  <c:v>27.196412603188591</c:v>
                </c:pt>
                <c:pt idx="501">
                  <c:v>27.258937290684948</c:v>
                </c:pt>
                <c:pt idx="502">
                  <c:v>27.320531233976201</c:v>
                </c:pt>
                <c:pt idx="503">
                  <c:v>27.381204768142378</c:v>
                </c:pt>
                <c:pt idx="504">
                  <c:v>27.440968207172418</c:v>
                </c:pt>
                <c:pt idx="505">
                  <c:v>27.441026995450802</c:v>
                </c:pt>
                <c:pt idx="506">
                  <c:v>27.441085782844475</c:v>
                </c:pt>
                <c:pt idx="507">
                  <c:v>27.441144569353476</c:v>
                </c:pt>
                <c:pt idx="508">
                  <c:v>27.441203354977784</c:v>
                </c:pt>
                <c:pt idx="509">
                  <c:v>27.44126213971742</c:v>
                </c:pt>
                <c:pt idx="510">
                  <c:v>27.441320923572377</c:v>
                </c:pt>
                <c:pt idx="511">
                  <c:v>27.44137970654268</c:v>
                </c:pt>
                <c:pt idx="512">
                  <c:v>27.441438488628343</c:v>
                </c:pt>
                <c:pt idx="513">
                  <c:v>27.441497269829373</c:v>
                </c:pt>
                <c:pt idx="514">
                  <c:v>27.441556050145767</c:v>
                </c:pt>
                <c:pt idx="515">
                  <c:v>27.441614829577546</c:v>
                </c:pt>
                <c:pt idx="516">
                  <c:v>27.441673608124727</c:v>
                </c:pt>
                <c:pt idx="517">
                  <c:v>27.441732385787308</c:v>
                </c:pt>
                <c:pt idx="518">
                  <c:v>27.441791162565302</c:v>
                </c:pt>
                <c:pt idx="519">
                  <c:v>27.44184993845872</c:v>
                </c:pt>
                <c:pt idx="520">
                  <c:v>27.441908713467559</c:v>
                </c:pt>
                <c:pt idx="521">
                  <c:v>27.44196748759186</c:v>
                </c:pt>
                <c:pt idx="522">
                  <c:v>27.442026260831607</c:v>
                </c:pt>
                <c:pt idx="523">
                  <c:v>27.442085033186824</c:v>
                </c:pt>
                <c:pt idx="524">
                  <c:v>27.442143804657515</c:v>
                </c:pt>
                <c:pt idx="525">
                  <c:v>27.442202575243691</c:v>
                </c:pt>
                <c:pt idx="526">
                  <c:v>27.442261344945354</c:v>
                </c:pt>
                <c:pt idx="527">
                  <c:v>27.442320113762523</c:v>
                </c:pt>
                <c:pt idx="528">
                  <c:v>27.442378881695209</c:v>
                </c:pt>
                <c:pt idx="529">
                  <c:v>27.442437648743415</c:v>
                </c:pt>
                <c:pt idx="530">
                  <c:v>27.442496414907168</c:v>
                </c:pt>
                <c:pt idx="531">
                  <c:v>27.442555180186453</c:v>
                </c:pt>
                <c:pt idx="532">
                  <c:v>27.442613944581296</c:v>
                </c:pt>
                <c:pt idx="533">
                  <c:v>27.442672708091706</c:v>
                </c:pt>
                <c:pt idx="534">
                  <c:v>27.442731470717689</c:v>
                </c:pt>
                <c:pt idx="535">
                  <c:v>27.442790232459259</c:v>
                </c:pt>
                <c:pt idx="536">
                  <c:v>27.442848993316417</c:v>
                </c:pt>
                <c:pt idx="537">
                  <c:v>27.442907753289184</c:v>
                </c:pt>
                <c:pt idx="538">
                  <c:v>27.442966512377559</c:v>
                </c:pt>
                <c:pt idx="539">
                  <c:v>27.443025270581582</c:v>
                </c:pt>
                <c:pt idx="540">
                  <c:v>27.443084027901214</c:v>
                </c:pt>
                <c:pt idx="541">
                  <c:v>27.443142784336501</c:v>
                </c:pt>
                <c:pt idx="542">
                  <c:v>27.443201539887447</c:v>
                </c:pt>
                <c:pt idx="543">
                  <c:v>27.443260294554051</c:v>
                </c:pt>
                <c:pt idx="544">
                  <c:v>27.443319048336324</c:v>
                </c:pt>
                <c:pt idx="545">
                  <c:v>27.443377801234291</c:v>
                </c:pt>
                <c:pt idx="546">
                  <c:v>27.443436553247953</c:v>
                </c:pt>
                <c:pt idx="547">
                  <c:v>27.443495304377315</c:v>
                </c:pt>
                <c:pt idx="548">
                  <c:v>27.443554054622396</c:v>
                </c:pt>
                <c:pt idx="549">
                  <c:v>27.4436128039832</c:v>
                </c:pt>
                <c:pt idx="550">
                  <c:v>27.443671552459737</c:v>
                </c:pt>
                <c:pt idx="551">
                  <c:v>27.443730300052028</c:v>
                </c:pt>
                <c:pt idx="552">
                  <c:v>27.44378904676007</c:v>
                </c:pt>
                <c:pt idx="553">
                  <c:v>27.443847792583878</c:v>
                </c:pt>
                <c:pt idx="554">
                  <c:v>27.443906537523464</c:v>
                </c:pt>
                <c:pt idx="555">
                  <c:v>27.44396528157883</c:v>
                </c:pt>
                <c:pt idx="556">
                  <c:v>27.444024024749993</c:v>
                </c:pt>
                <c:pt idx="557">
                  <c:v>27.44408276703696</c:v>
                </c:pt>
                <c:pt idx="558">
                  <c:v>27.444141508439742</c:v>
                </c:pt>
                <c:pt idx="559">
                  <c:v>27.444200248958364</c:v>
                </c:pt>
                <c:pt idx="560">
                  <c:v>27.444258988592793</c:v>
                </c:pt>
                <c:pt idx="561">
                  <c:v>27.44431772734309</c:v>
                </c:pt>
                <c:pt idx="562">
                  <c:v>27.444376465209235</c:v>
                </c:pt>
                <c:pt idx="563">
                  <c:v>27.444435202191247</c:v>
                </c:pt>
                <c:pt idx="564">
                  <c:v>27.444493938289131</c:v>
                </c:pt>
                <c:pt idx="565">
                  <c:v>27.444552673502898</c:v>
                </c:pt>
                <c:pt idx="566">
                  <c:v>27.444611407832571</c:v>
                </c:pt>
                <c:pt idx="567">
                  <c:v>27.444670141278152</c:v>
                </c:pt>
                <c:pt idx="568">
                  <c:v>27.444728873839647</c:v>
                </c:pt>
                <c:pt idx="569">
                  <c:v>27.444787605517053</c:v>
                </c:pt>
                <c:pt idx="570">
                  <c:v>27.444846336310405</c:v>
                </c:pt>
                <c:pt idx="571">
                  <c:v>27.4449050662197</c:v>
                </c:pt>
                <c:pt idx="572">
                  <c:v>27.444963795244956</c:v>
                </c:pt>
                <c:pt idx="573">
                  <c:v>27.445022523386193</c:v>
                </c:pt>
                <c:pt idx="574">
                  <c:v>27.44508125064338</c:v>
                </c:pt>
                <c:pt idx="575">
                  <c:v>27.44513997701657</c:v>
                </c:pt>
                <c:pt idx="576">
                  <c:v>27.445198702505746</c:v>
                </c:pt>
                <c:pt idx="577">
                  <c:v>27.445257427110928</c:v>
                </c:pt>
                <c:pt idx="578">
                  <c:v>27.445316150832127</c:v>
                </c:pt>
                <c:pt idx="579">
                  <c:v>27.445374873669351</c:v>
                </c:pt>
                <c:pt idx="580">
                  <c:v>27.445433595622621</c:v>
                </c:pt>
                <c:pt idx="581">
                  <c:v>27.445492316691929</c:v>
                </c:pt>
                <c:pt idx="582">
                  <c:v>27.445551036877298</c:v>
                </c:pt>
                <c:pt idx="583">
                  <c:v>27.445609756178733</c:v>
                </c:pt>
                <c:pt idx="584">
                  <c:v>27.445668474596228</c:v>
                </c:pt>
                <c:pt idx="585">
                  <c:v>27.445727192129844</c:v>
                </c:pt>
                <c:pt idx="586">
                  <c:v>27.445785908779534</c:v>
                </c:pt>
                <c:pt idx="587">
                  <c:v>27.445844624545334</c:v>
                </c:pt>
                <c:pt idx="588">
                  <c:v>27.445903339427243</c:v>
                </c:pt>
                <c:pt idx="589">
                  <c:v>27.445962053425294</c:v>
                </c:pt>
                <c:pt idx="590">
                  <c:v>27.44602076653948</c:v>
                </c:pt>
                <c:pt idx="591">
                  <c:v>27.4460794787698</c:v>
                </c:pt>
                <c:pt idx="592">
                  <c:v>27.446138190116276</c:v>
                </c:pt>
                <c:pt idx="593">
                  <c:v>27.446196900578926</c:v>
                </c:pt>
                <c:pt idx="594">
                  <c:v>27.446255610157753</c:v>
                </c:pt>
                <c:pt idx="595">
                  <c:v>27.446314318852764</c:v>
                </c:pt>
                <c:pt idx="596">
                  <c:v>27.446373026663963</c:v>
                </c:pt>
                <c:pt idx="597">
                  <c:v>27.446431733591396</c:v>
                </c:pt>
                <c:pt idx="598">
                  <c:v>27.446490439635035</c:v>
                </c:pt>
                <c:pt idx="599">
                  <c:v>27.446549144794893</c:v>
                </c:pt>
                <c:pt idx="600">
                  <c:v>27.446607849070979</c:v>
                </c:pt>
                <c:pt idx="601">
                  <c:v>27.446666552463316</c:v>
                </c:pt>
                <c:pt idx="602">
                  <c:v>27.446725254971923</c:v>
                </c:pt>
                <c:pt idx="603">
                  <c:v>27.4467839565968</c:v>
                </c:pt>
                <c:pt idx="604">
                  <c:v>27.44684265733795</c:v>
                </c:pt>
                <c:pt idx="605">
                  <c:v>27.446901357195369</c:v>
                </c:pt>
                <c:pt idx="606">
                  <c:v>27.446960056169122</c:v>
                </c:pt>
                <c:pt idx="607">
                  <c:v>27.447018754259147</c:v>
                </c:pt>
                <c:pt idx="608">
                  <c:v>27.44707745146551</c:v>
                </c:pt>
                <c:pt idx="609">
                  <c:v>27.447136147788189</c:v>
                </c:pt>
                <c:pt idx="610">
                  <c:v>27.447194843227216</c:v>
                </c:pt>
                <c:pt idx="611">
                  <c:v>27.447253537782579</c:v>
                </c:pt>
                <c:pt idx="612">
                  <c:v>27.447312231454305</c:v>
                </c:pt>
                <c:pt idx="613">
                  <c:v>27.447370924242396</c:v>
                </c:pt>
                <c:pt idx="614">
                  <c:v>27.447429616146874</c:v>
                </c:pt>
                <c:pt idx="615">
                  <c:v>27.447488307167724</c:v>
                </c:pt>
                <c:pt idx="616">
                  <c:v>27.447546997304983</c:v>
                </c:pt>
                <c:pt idx="617">
                  <c:v>27.447605686558635</c:v>
                </c:pt>
                <c:pt idx="618">
                  <c:v>27.447664374928721</c:v>
                </c:pt>
                <c:pt idx="619">
                  <c:v>27.447723062415225</c:v>
                </c:pt>
                <c:pt idx="620">
                  <c:v>27.447781749018173</c:v>
                </c:pt>
                <c:pt idx="621">
                  <c:v>27.447840434737561</c:v>
                </c:pt>
                <c:pt idx="622">
                  <c:v>27.44789911957341</c:v>
                </c:pt>
                <c:pt idx="623">
                  <c:v>27.447957803525739</c:v>
                </c:pt>
                <c:pt idx="624">
                  <c:v>27.448016486594533</c:v>
                </c:pt>
                <c:pt idx="625">
                  <c:v>27.448075168779805</c:v>
                </c:pt>
                <c:pt idx="626">
                  <c:v>27.448133850081586</c:v>
                </c:pt>
                <c:pt idx="627">
                  <c:v>27.448192530499888</c:v>
                </c:pt>
                <c:pt idx="628">
                  <c:v>27.448251210034698</c:v>
                </c:pt>
                <c:pt idx="629">
                  <c:v>27.44830988868604</c:v>
                </c:pt>
                <c:pt idx="630">
                  <c:v>27.448368566453915</c:v>
                </c:pt>
                <c:pt idx="631">
                  <c:v>27.448427243338333</c:v>
                </c:pt>
                <c:pt idx="632">
                  <c:v>27.448485919339319</c:v>
                </c:pt>
                <c:pt idx="633">
                  <c:v>27.44854459445687</c:v>
                </c:pt>
                <c:pt idx="634">
                  <c:v>27.448603268690995</c:v>
                </c:pt>
                <c:pt idx="635">
                  <c:v>27.448661942041714</c:v>
                </c:pt>
                <c:pt idx="636">
                  <c:v>27.448720614509018</c:v>
                </c:pt>
                <c:pt idx="637">
                  <c:v>27.448779286092936</c:v>
                </c:pt>
                <c:pt idx="638">
                  <c:v>27.448837956793493</c:v>
                </c:pt>
                <c:pt idx="639">
                  <c:v>27.448896626610644</c:v>
                </c:pt>
                <c:pt idx="640">
                  <c:v>27.448955295544462</c:v>
                </c:pt>
                <c:pt idx="641">
                  <c:v>27.449013963594904</c:v>
                </c:pt>
                <c:pt idx="642">
                  <c:v>27.449072630762032</c:v>
                </c:pt>
                <c:pt idx="643">
                  <c:v>27.449131297045806</c:v>
                </c:pt>
                <c:pt idx="644">
                  <c:v>27.449189962446265</c:v>
                </c:pt>
                <c:pt idx="645">
                  <c:v>27.449248626963417</c:v>
                </c:pt>
                <c:pt idx="646">
                  <c:v>27.449307290597265</c:v>
                </c:pt>
                <c:pt idx="647">
                  <c:v>27.449365953347826</c:v>
                </c:pt>
                <c:pt idx="648">
                  <c:v>27.449424615215094</c:v>
                </c:pt>
                <c:pt idx="649">
                  <c:v>27.449483276199107</c:v>
                </c:pt>
                <c:pt idx="650">
                  <c:v>27.449541936299845</c:v>
                </c:pt>
                <c:pt idx="651">
                  <c:v>27.449600595517342</c:v>
                </c:pt>
                <c:pt idx="652">
                  <c:v>27.449659253851593</c:v>
                </c:pt>
                <c:pt idx="653">
                  <c:v>27.449717911302596</c:v>
                </c:pt>
                <c:pt idx="654">
                  <c:v>27.449776567870401</c:v>
                </c:pt>
                <c:pt idx="655">
                  <c:v>27.449835223554992</c:v>
                </c:pt>
                <c:pt idx="656">
                  <c:v>27.44989387835637</c:v>
                </c:pt>
                <c:pt idx="657">
                  <c:v>27.449952532274562</c:v>
                </c:pt>
                <c:pt idx="658">
                  <c:v>27.450011185309592</c:v>
                </c:pt>
                <c:pt idx="659">
                  <c:v>27.450069837461427</c:v>
                </c:pt>
                <c:pt idx="660">
                  <c:v>27.450128488730112</c:v>
                </c:pt>
                <c:pt idx="661">
                  <c:v>27.450187139115645</c:v>
                </c:pt>
                <c:pt idx="662">
                  <c:v>27.450245788618041</c:v>
                </c:pt>
                <c:pt idx="663">
                  <c:v>27.4503044372373</c:v>
                </c:pt>
                <c:pt idx="664">
                  <c:v>27.450363084973439</c:v>
                </c:pt>
                <c:pt idx="665">
                  <c:v>27.450421731826477</c:v>
                </c:pt>
                <c:pt idx="666">
                  <c:v>27.450480377796403</c:v>
                </c:pt>
                <c:pt idx="667">
                  <c:v>27.450539022883238</c:v>
                </c:pt>
                <c:pt idx="668">
                  <c:v>27.450597667086992</c:v>
                </c:pt>
                <c:pt idx="669">
                  <c:v>27.450656310407687</c:v>
                </c:pt>
                <c:pt idx="670">
                  <c:v>27.450714952845313</c:v>
                </c:pt>
                <c:pt idx="671">
                  <c:v>27.450773594399884</c:v>
                </c:pt>
                <c:pt idx="672">
                  <c:v>27.450832235071413</c:v>
                </c:pt>
                <c:pt idx="673">
                  <c:v>27.450890874859915</c:v>
                </c:pt>
                <c:pt idx="674">
                  <c:v>27.450949513765408</c:v>
                </c:pt>
                <c:pt idx="675">
                  <c:v>27.451008151787875</c:v>
                </c:pt>
                <c:pt idx="676">
                  <c:v>27.451066788927349</c:v>
                </c:pt>
                <c:pt idx="677">
                  <c:v>27.451125425183832</c:v>
                </c:pt>
                <c:pt idx="678">
                  <c:v>27.451184060557335</c:v>
                </c:pt>
                <c:pt idx="679">
                  <c:v>27.451242695047871</c:v>
                </c:pt>
                <c:pt idx="680">
                  <c:v>27.45130132865544</c:v>
                </c:pt>
                <c:pt idx="681">
                  <c:v>27.451359961380057</c:v>
                </c:pt>
                <c:pt idx="682">
                  <c:v>27.451418593221742</c:v>
                </c:pt>
                <c:pt idx="683">
                  <c:v>27.45147722418049</c:v>
                </c:pt>
                <c:pt idx="684">
                  <c:v>27.451535854256317</c:v>
                </c:pt>
                <c:pt idx="685">
                  <c:v>27.451594483449238</c:v>
                </c:pt>
                <c:pt idx="686">
                  <c:v>27.451653111759267</c:v>
                </c:pt>
                <c:pt idx="687">
                  <c:v>27.451711739186401</c:v>
                </c:pt>
                <c:pt idx="688">
                  <c:v>27.451770365730649</c:v>
                </c:pt>
                <c:pt idx="689">
                  <c:v>27.451828991392034</c:v>
                </c:pt>
                <c:pt idx="690">
                  <c:v>27.451887616170549</c:v>
                </c:pt>
                <c:pt idx="691">
                  <c:v>27.451946240066217</c:v>
                </c:pt>
                <c:pt idx="692">
                  <c:v>27.452004863079054</c:v>
                </c:pt>
                <c:pt idx="693">
                  <c:v>27.452063485209049</c:v>
                </c:pt>
                <c:pt idx="694">
                  <c:v>27.452122106456233</c:v>
                </c:pt>
                <c:pt idx="695">
                  <c:v>27.452180726820611</c:v>
                </c:pt>
                <c:pt idx="696">
                  <c:v>27.452239346302186</c:v>
                </c:pt>
                <c:pt idx="697">
                  <c:v>27.452297964900964</c:v>
                </c:pt>
                <c:pt idx="698">
                  <c:v>27.452356582616968</c:v>
                </c:pt>
                <c:pt idx="699">
                  <c:v>27.452415199450201</c:v>
                </c:pt>
                <c:pt idx="700">
                  <c:v>27.452473815400669</c:v>
                </c:pt>
                <c:pt idx="701">
                  <c:v>27.452532430468388</c:v>
                </c:pt>
                <c:pt idx="702">
                  <c:v>27.452591044653378</c:v>
                </c:pt>
                <c:pt idx="703">
                  <c:v>27.452649657955636</c:v>
                </c:pt>
                <c:pt idx="704">
                  <c:v>27.452708270375165</c:v>
                </c:pt>
                <c:pt idx="705">
                  <c:v>27.452766881911984</c:v>
                </c:pt>
                <c:pt idx="706">
                  <c:v>27.452825492566117</c:v>
                </c:pt>
                <c:pt idx="707">
                  <c:v>27.452884102337549</c:v>
                </c:pt>
                <c:pt idx="708">
                  <c:v>27.452942711226303</c:v>
                </c:pt>
                <c:pt idx="709">
                  <c:v>27.453001319232392</c:v>
                </c:pt>
                <c:pt idx="710">
                  <c:v>27.453059926355817</c:v>
                </c:pt>
                <c:pt idx="711">
                  <c:v>27.453118532596601</c:v>
                </c:pt>
                <c:pt idx="712">
                  <c:v>27.453177137954739</c:v>
                </c:pt>
                <c:pt idx="713">
                  <c:v>27.453235742430241</c:v>
                </c:pt>
                <c:pt idx="714">
                  <c:v>27.453294346023128</c:v>
                </c:pt>
                <c:pt idx="715">
                  <c:v>27.453352948733428</c:v>
                </c:pt>
                <c:pt idx="716">
                  <c:v>27.4534115505611</c:v>
                </c:pt>
                <c:pt idx="717">
                  <c:v>27.453470151506199</c:v>
                </c:pt>
                <c:pt idx="718">
                  <c:v>27.453528751568705</c:v>
                </c:pt>
                <c:pt idx="719">
                  <c:v>27.45358735074867</c:v>
                </c:pt>
                <c:pt idx="720">
                  <c:v>27.453645949046049</c:v>
                </c:pt>
                <c:pt idx="721">
                  <c:v>27.453704546460891</c:v>
                </c:pt>
                <c:pt idx="722">
                  <c:v>27.453763142993186</c:v>
                </c:pt>
                <c:pt idx="723">
                  <c:v>27.453821738642954</c:v>
                </c:pt>
                <c:pt idx="724">
                  <c:v>27.453880333410215</c:v>
                </c:pt>
                <c:pt idx="725">
                  <c:v>27.453938927294949</c:v>
                </c:pt>
                <c:pt idx="726">
                  <c:v>27.453997520297193</c:v>
                </c:pt>
                <c:pt idx="727">
                  <c:v>27.454056112416946</c:v>
                </c:pt>
                <c:pt idx="728">
                  <c:v>27.45411470365422</c:v>
                </c:pt>
                <c:pt idx="729">
                  <c:v>27.454173294009031</c:v>
                </c:pt>
                <c:pt idx="730">
                  <c:v>27.454231883481384</c:v>
                </c:pt>
                <c:pt idx="731">
                  <c:v>27.454290472071275</c:v>
                </c:pt>
                <c:pt idx="732">
                  <c:v>27.454349059778739</c:v>
                </c:pt>
                <c:pt idx="733">
                  <c:v>27.454407646603777</c:v>
                </c:pt>
                <c:pt idx="734">
                  <c:v>27.454466232546395</c:v>
                </c:pt>
                <c:pt idx="735">
                  <c:v>27.454524817606604</c:v>
                </c:pt>
                <c:pt idx="736">
                  <c:v>27.454583401784404</c:v>
                </c:pt>
                <c:pt idx="737">
                  <c:v>27.454641985079835</c:v>
                </c:pt>
                <c:pt idx="738">
                  <c:v>27.454700567492875</c:v>
                </c:pt>
                <c:pt idx="739">
                  <c:v>27.454759149023541</c:v>
                </c:pt>
                <c:pt idx="740">
                  <c:v>27.454817729671856</c:v>
                </c:pt>
                <c:pt idx="741">
                  <c:v>27.454876309437822</c:v>
                </c:pt>
                <c:pt idx="742">
                  <c:v>27.454934888321461</c:v>
                </c:pt>
                <c:pt idx="743">
                  <c:v>27.454993466322755</c:v>
                </c:pt>
                <c:pt idx="744">
                  <c:v>27.455052043441739</c:v>
                </c:pt>
                <c:pt idx="745">
                  <c:v>27.455110619678415</c:v>
                </c:pt>
                <c:pt idx="746">
                  <c:v>27.455169195032802</c:v>
                </c:pt>
                <c:pt idx="747">
                  <c:v>27.45522776950488</c:v>
                </c:pt>
                <c:pt idx="748">
                  <c:v>27.455286343094699</c:v>
                </c:pt>
                <c:pt idx="749">
                  <c:v>27.455344915802232</c:v>
                </c:pt>
                <c:pt idx="750">
                  <c:v>27.455403487627521</c:v>
                </c:pt>
                <c:pt idx="751">
                  <c:v>27.455462058570561</c:v>
                </c:pt>
                <c:pt idx="752">
                  <c:v>27.455520628631348</c:v>
                </c:pt>
                <c:pt idx="753">
                  <c:v>27.455579197809925</c:v>
                </c:pt>
                <c:pt idx="754">
                  <c:v>27.455637766106282</c:v>
                </c:pt>
                <c:pt idx="755">
                  <c:v>27.455696333520422</c:v>
                </c:pt>
                <c:pt idx="756">
                  <c:v>27.455754900052373</c:v>
                </c:pt>
                <c:pt idx="757">
                  <c:v>27.455813465702121</c:v>
                </c:pt>
                <c:pt idx="758">
                  <c:v>27.455872030469706</c:v>
                </c:pt>
                <c:pt idx="759">
                  <c:v>27.455930594355117</c:v>
                </c:pt>
                <c:pt idx="760">
                  <c:v>27.455989157358378</c:v>
                </c:pt>
                <c:pt idx="761">
                  <c:v>27.456047719479479</c:v>
                </c:pt>
                <c:pt idx="762">
                  <c:v>27.456106280718462</c:v>
                </c:pt>
                <c:pt idx="763">
                  <c:v>27.456164841075292</c:v>
                </c:pt>
                <c:pt idx="764">
                  <c:v>27.456223400550019</c:v>
                </c:pt>
                <c:pt idx="765">
                  <c:v>27.456281959142633</c:v>
                </c:pt>
                <c:pt idx="766">
                  <c:v>27.456340516853157</c:v>
                </c:pt>
                <c:pt idx="767">
                  <c:v>27.456399073681585</c:v>
                </c:pt>
                <c:pt idx="768">
                  <c:v>27.456457629627952</c:v>
                </c:pt>
                <c:pt idx="769">
                  <c:v>27.456516184692237</c:v>
                </c:pt>
                <c:pt idx="770">
                  <c:v>27.456574738874469</c:v>
                </c:pt>
                <c:pt idx="771">
                  <c:v>27.456633292174644</c:v>
                </c:pt>
                <c:pt idx="772">
                  <c:v>27.45669184459279</c:v>
                </c:pt>
                <c:pt idx="773">
                  <c:v>27.456750396128918</c:v>
                </c:pt>
                <c:pt idx="774">
                  <c:v>27.45680894678301</c:v>
                </c:pt>
                <c:pt idx="775">
                  <c:v>27.456867496555112</c:v>
                </c:pt>
                <c:pt idx="776">
                  <c:v>27.456926045445204</c:v>
                </c:pt>
                <c:pt idx="777">
                  <c:v>27.456984593453317</c:v>
                </c:pt>
                <c:pt idx="778">
                  <c:v>27.457043140579458</c:v>
                </c:pt>
                <c:pt idx="779">
                  <c:v>27.457101686823624</c:v>
                </c:pt>
                <c:pt idx="780">
                  <c:v>27.457160232185824</c:v>
                </c:pt>
                <c:pt idx="781">
                  <c:v>27.457218776666085</c:v>
                </c:pt>
                <c:pt idx="782">
                  <c:v>27.457277320264406</c:v>
                </c:pt>
                <c:pt idx="783">
                  <c:v>27.457335862980798</c:v>
                </c:pt>
                <c:pt idx="784">
                  <c:v>27.45739440481529</c:v>
                </c:pt>
                <c:pt idx="785">
                  <c:v>27.457452945767855</c:v>
                </c:pt>
                <c:pt idx="786">
                  <c:v>27.457511485838534</c:v>
                </c:pt>
                <c:pt idx="787">
                  <c:v>27.457570025027319</c:v>
                </c:pt>
                <c:pt idx="788">
                  <c:v>27.457628563334239</c:v>
                </c:pt>
                <c:pt idx="789">
                  <c:v>27.457687100759276</c:v>
                </c:pt>
                <c:pt idx="790">
                  <c:v>27.457745637302459</c:v>
                </c:pt>
                <c:pt idx="791">
                  <c:v>27.457804172963804</c:v>
                </c:pt>
                <c:pt idx="792">
                  <c:v>27.457862707743306</c:v>
                </c:pt>
                <c:pt idx="793">
                  <c:v>27.457921241640982</c:v>
                </c:pt>
                <c:pt idx="794">
                  <c:v>27.457979774656842</c:v>
                </c:pt>
                <c:pt idx="795">
                  <c:v>27.458038306790904</c:v>
                </c:pt>
                <c:pt idx="796">
                  <c:v>27.458096838043168</c:v>
                </c:pt>
                <c:pt idx="797">
                  <c:v>27.458155368413635</c:v>
                </c:pt>
                <c:pt idx="798">
                  <c:v>27.458213897902315</c:v>
                </c:pt>
                <c:pt idx="799">
                  <c:v>27.45827242650925</c:v>
                </c:pt>
                <c:pt idx="800">
                  <c:v>27.458330954234437</c:v>
                </c:pt>
                <c:pt idx="801">
                  <c:v>27.458389481077855</c:v>
                </c:pt>
                <c:pt idx="802">
                  <c:v>27.458448007039539</c:v>
                </c:pt>
                <c:pt idx="803">
                  <c:v>27.458506532119515</c:v>
                </c:pt>
                <c:pt idx="804">
                  <c:v>27.458565056317752</c:v>
                </c:pt>
                <c:pt idx="805">
                  <c:v>27.458623579634295</c:v>
                </c:pt>
                <c:pt idx="806">
                  <c:v>27.45868210206914</c:v>
                </c:pt>
                <c:pt idx="807">
                  <c:v>27.458740623622298</c:v>
                </c:pt>
                <c:pt idx="808">
                  <c:v>27.458799144293774</c:v>
                </c:pt>
                <c:pt idx="809">
                  <c:v>27.458857664083602</c:v>
                </c:pt>
                <c:pt idx="810">
                  <c:v>27.45891618299175</c:v>
                </c:pt>
                <c:pt idx="811">
                  <c:v>27.458974701018263</c:v>
                </c:pt>
                <c:pt idx="812">
                  <c:v>27.459033218163135</c:v>
                </c:pt>
                <c:pt idx="813">
                  <c:v>27.45909173442638</c:v>
                </c:pt>
                <c:pt idx="814">
                  <c:v>27.459150249808022</c:v>
                </c:pt>
                <c:pt idx="815">
                  <c:v>27.459208764308055</c:v>
                </c:pt>
                <c:pt idx="816">
                  <c:v>27.459267277926479</c:v>
                </c:pt>
                <c:pt idx="817">
                  <c:v>27.459325790663325</c:v>
                </c:pt>
                <c:pt idx="818">
                  <c:v>27.459384302518597</c:v>
                </c:pt>
                <c:pt idx="819">
                  <c:v>27.459442813492302</c:v>
                </c:pt>
                <c:pt idx="820">
                  <c:v>27.459501323584448</c:v>
                </c:pt>
                <c:pt idx="821">
                  <c:v>27.459559832795062</c:v>
                </c:pt>
                <c:pt idx="822">
                  <c:v>27.459618341124113</c:v>
                </c:pt>
                <c:pt idx="823">
                  <c:v>27.459676848571672</c:v>
                </c:pt>
                <c:pt idx="824">
                  <c:v>27.459735355137695</c:v>
                </c:pt>
                <c:pt idx="825">
                  <c:v>27.459793860822224</c:v>
                </c:pt>
                <c:pt idx="826">
                  <c:v>27.459852365625242</c:v>
                </c:pt>
                <c:pt idx="827">
                  <c:v>27.459910869546778</c:v>
                </c:pt>
                <c:pt idx="828">
                  <c:v>27.459969372586841</c:v>
                </c:pt>
                <c:pt idx="829">
                  <c:v>27.460027874745439</c:v>
                </c:pt>
                <c:pt idx="830">
                  <c:v>27.460086376022577</c:v>
                </c:pt>
                <c:pt idx="831">
                  <c:v>27.46014487641828</c:v>
                </c:pt>
                <c:pt idx="832">
                  <c:v>27.460203375932551</c:v>
                </c:pt>
                <c:pt idx="833">
                  <c:v>27.460261874565379</c:v>
                </c:pt>
                <c:pt idx="834">
                  <c:v>27.460320372316804</c:v>
                </c:pt>
                <c:pt idx="835">
                  <c:v>27.460378869186815</c:v>
                </c:pt>
                <c:pt idx="836">
                  <c:v>27.460437365175441</c:v>
                </c:pt>
                <c:pt idx="837">
                  <c:v>27.460495860282673</c:v>
                </c:pt>
                <c:pt idx="838">
                  <c:v>27.46055435450852</c:v>
                </c:pt>
                <c:pt idx="839">
                  <c:v>27.460612847853007</c:v>
                </c:pt>
                <c:pt idx="840">
                  <c:v>27.460671340316146</c:v>
                </c:pt>
                <c:pt idx="841">
                  <c:v>27.460729831897932</c:v>
                </c:pt>
                <c:pt idx="842">
                  <c:v>27.460788322598397</c:v>
                </c:pt>
                <c:pt idx="843">
                  <c:v>27.460846812417518</c:v>
                </c:pt>
                <c:pt idx="844">
                  <c:v>27.46090530135535</c:v>
                </c:pt>
                <c:pt idx="845">
                  <c:v>27.460963789411849</c:v>
                </c:pt>
                <c:pt idx="846">
                  <c:v>27.461022276587077</c:v>
                </c:pt>
                <c:pt idx="847">
                  <c:v>27.461080762881</c:v>
                </c:pt>
                <c:pt idx="848">
                  <c:v>27.461139248293655</c:v>
                </c:pt>
                <c:pt idx="849">
                  <c:v>27.461197732825049</c:v>
                </c:pt>
                <c:pt idx="850">
                  <c:v>27.461256216475181</c:v>
                </c:pt>
                <c:pt idx="851">
                  <c:v>27.461314699244074</c:v>
                </c:pt>
                <c:pt idx="852">
                  <c:v>27.46137318113173</c:v>
                </c:pt>
                <c:pt idx="853">
                  <c:v>27.46143166213815</c:v>
                </c:pt>
                <c:pt idx="854">
                  <c:v>27.461490142263358</c:v>
                </c:pt>
                <c:pt idx="855">
                  <c:v>27.461548621507387</c:v>
                </c:pt>
                <c:pt idx="856">
                  <c:v>27.461607099870196</c:v>
                </c:pt>
                <c:pt idx="857">
                  <c:v>27.461665577351827</c:v>
                </c:pt>
                <c:pt idx="858">
                  <c:v>27.461724053952285</c:v>
                </c:pt>
                <c:pt idx="859">
                  <c:v>27.461782529671563</c:v>
                </c:pt>
                <c:pt idx="860">
                  <c:v>27.461841004509704</c:v>
                </c:pt>
                <c:pt idx="861">
                  <c:v>27.461899478466691</c:v>
                </c:pt>
                <c:pt idx="862">
                  <c:v>27.461957951542551</c:v>
                </c:pt>
                <c:pt idx="863">
                  <c:v>27.462016423737282</c:v>
                </c:pt>
                <c:pt idx="864">
                  <c:v>27.462074895050907</c:v>
                </c:pt>
                <c:pt idx="865">
                  <c:v>27.462133365483417</c:v>
                </c:pt>
                <c:pt idx="866">
                  <c:v>27.462191835034844</c:v>
                </c:pt>
                <c:pt idx="867">
                  <c:v>27.462250303705183</c:v>
                </c:pt>
                <c:pt idx="868">
                  <c:v>27.462308771494438</c:v>
                </c:pt>
                <c:pt idx="869">
                  <c:v>27.462367238402624</c:v>
                </c:pt>
                <c:pt idx="870">
                  <c:v>27.462425704429769</c:v>
                </c:pt>
                <c:pt idx="871">
                  <c:v>27.462484169575873</c:v>
                </c:pt>
                <c:pt idx="872">
                  <c:v>27.462542633840933</c:v>
                </c:pt>
                <c:pt idx="873">
                  <c:v>27.462601097224972</c:v>
                </c:pt>
                <c:pt idx="874">
                  <c:v>27.462659559727985</c:v>
                </c:pt>
                <c:pt idx="875">
                  <c:v>27.462718021350017</c:v>
                </c:pt>
                <c:pt idx="876">
                  <c:v>27.462776482091041</c:v>
                </c:pt>
                <c:pt idx="877">
                  <c:v>27.462834941951076</c:v>
                </c:pt>
                <c:pt idx="878">
                  <c:v>27.462893400930138</c:v>
                </c:pt>
                <c:pt idx="879">
                  <c:v>27.462951859028248</c:v>
                </c:pt>
                <c:pt idx="880">
                  <c:v>27.463010316245406</c:v>
                </c:pt>
                <c:pt idx="881">
                  <c:v>27.463068772581597</c:v>
                </c:pt>
                <c:pt idx="882">
                  <c:v>27.463127228036871</c:v>
                </c:pt>
                <c:pt idx="883">
                  <c:v>27.463185682611208</c:v>
                </c:pt>
                <c:pt idx="884">
                  <c:v>27.463244136304631</c:v>
                </c:pt>
                <c:pt idx="885">
                  <c:v>27.46330258911718</c:v>
                </c:pt>
                <c:pt idx="886">
                  <c:v>27.463361041048799</c:v>
                </c:pt>
                <c:pt idx="887">
                  <c:v>27.46341949209954</c:v>
                </c:pt>
                <c:pt idx="888">
                  <c:v>27.463477942269414</c:v>
                </c:pt>
                <c:pt idx="889">
                  <c:v>27.463536391558431</c:v>
                </c:pt>
                <c:pt idx="890">
                  <c:v>27.463594839966593</c:v>
                </c:pt>
                <c:pt idx="891">
                  <c:v>27.463653287493909</c:v>
                </c:pt>
                <c:pt idx="892">
                  <c:v>27.463711734140382</c:v>
                </c:pt>
                <c:pt idx="893">
                  <c:v>27.463770179906035</c:v>
                </c:pt>
                <c:pt idx="894">
                  <c:v>27.463828624790882</c:v>
                </c:pt>
                <c:pt idx="895">
                  <c:v>27.463887068794918</c:v>
                </c:pt>
                <c:pt idx="896">
                  <c:v>27.463945511918162</c:v>
                </c:pt>
                <c:pt idx="897">
                  <c:v>27.464003954160621</c:v>
                </c:pt>
                <c:pt idx="898">
                  <c:v>27.464062395522305</c:v>
                </c:pt>
                <c:pt idx="899">
                  <c:v>27.464120836003246</c:v>
                </c:pt>
                <c:pt idx="900">
                  <c:v>27.464179275603403</c:v>
                </c:pt>
                <c:pt idx="901">
                  <c:v>27.464237714322824</c:v>
                </c:pt>
                <c:pt idx="902">
                  <c:v>27.464296152161513</c:v>
                </c:pt>
                <c:pt idx="903">
                  <c:v>27.464354589119484</c:v>
                </c:pt>
                <c:pt idx="904">
                  <c:v>27.464413025196745</c:v>
                </c:pt>
                <c:pt idx="905">
                  <c:v>27.464471460393295</c:v>
                </c:pt>
                <c:pt idx="906">
                  <c:v>27.464529894709148</c:v>
                </c:pt>
                <c:pt idx="907">
                  <c:v>27.464588328144334</c:v>
                </c:pt>
                <c:pt idx="908">
                  <c:v>27.464646760698834</c:v>
                </c:pt>
                <c:pt idx="909">
                  <c:v>27.464705192372673</c:v>
                </c:pt>
                <c:pt idx="910">
                  <c:v>27.464763623165855</c:v>
                </c:pt>
                <c:pt idx="911">
                  <c:v>27.464822053078404</c:v>
                </c:pt>
                <c:pt idx="912">
                  <c:v>27.464880482110306</c:v>
                </c:pt>
                <c:pt idx="913">
                  <c:v>27.464938910261591</c:v>
                </c:pt>
                <c:pt idx="914">
                  <c:v>27.464997337532264</c:v>
                </c:pt>
                <c:pt idx="915">
                  <c:v>27.465055763922326</c:v>
                </c:pt>
                <c:pt idx="916">
                  <c:v>27.465114189431787</c:v>
                </c:pt>
                <c:pt idx="917">
                  <c:v>27.46517261406068</c:v>
                </c:pt>
                <c:pt idx="918">
                  <c:v>27.465231037809001</c:v>
                </c:pt>
                <c:pt idx="919">
                  <c:v>27.465289460676757</c:v>
                </c:pt>
                <c:pt idx="920">
                  <c:v>27.465347882663949</c:v>
                </c:pt>
                <c:pt idx="921">
                  <c:v>27.465406303770607</c:v>
                </c:pt>
                <c:pt idx="922">
                  <c:v>27.465464723996742</c:v>
                </c:pt>
                <c:pt idx="923">
                  <c:v>27.465523143342338</c:v>
                </c:pt>
                <c:pt idx="924">
                  <c:v>27.465581561807426</c:v>
                </c:pt>
                <c:pt idx="925">
                  <c:v>27.465639979392002</c:v>
                </c:pt>
                <c:pt idx="926">
                  <c:v>27.465698396096105</c:v>
                </c:pt>
                <c:pt idx="927">
                  <c:v>27.465756811919707</c:v>
                </c:pt>
                <c:pt idx="928">
                  <c:v>27.465815226862837</c:v>
                </c:pt>
                <c:pt idx="929">
                  <c:v>27.465873640925526</c:v>
                </c:pt>
                <c:pt idx="930">
                  <c:v>27.465932054107732</c:v>
                </c:pt>
                <c:pt idx="931">
                  <c:v>27.465990466409529</c:v>
                </c:pt>
                <c:pt idx="932">
                  <c:v>27.466048877830872</c:v>
                </c:pt>
                <c:pt idx="933">
                  <c:v>27.466107288371777</c:v>
                </c:pt>
                <c:pt idx="934">
                  <c:v>27.466165698032288</c:v>
                </c:pt>
                <c:pt idx="935">
                  <c:v>27.466224106812394</c:v>
                </c:pt>
                <c:pt idx="936">
                  <c:v>27.466282514712116</c:v>
                </c:pt>
                <c:pt idx="937">
                  <c:v>27.466340921731451</c:v>
                </c:pt>
                <c:pt idx="938">
                  <c:v>27.466399327870406</c:v>
                </c:pt>
                <c:pt idx="939">
                  <c:v>27.466457733129005</c:v>
                </c:pt>
                <c:pt idx="940">
                  <c:v>27.466516137507252</c:v>
                </c:pt>
                <c:pt idx="941">
                  <c:v>27.466574541005148</c:v>
                </c:pt>
                <c:pt idx="942">
                  <c:v>27.466632943622709</c:v>
                </c:pt>
                <c:pt idx="943">
                  <c:v>27.466691345359962</c:v>
                </c:pt>
                <c:pt idx="944">
                  <c:v>27.466749746216898</c:v>
                </c:pt>
                <c:pt idx="945">
                  <c:v>27.466808146193532</c:v>
                </c:pt>
                <c:pt idx="946">
                  <c:v>27.466866545289879</c:v>
                </c:pt>
                <c:pt idx="947">
                  <c:v>27.46692494350593</c:v>
                </c:pt>
                <c:pt idx="948">
                  <c:v>27.466983340841715</c:v>
                </c:pt>
                <c:pt idx="949">
                  <c:v>27.46704173729724</c:v>
                </c:pt>
                <c:pt idx="950">
                  <c:v>27.467100132872499</c:v>
                </c:pt>
                <c:pt idx="951">
                  <c:v>27.46715852756752</c:v>
                </c:pt>
                <c:pt idx="952">
                  <c:v>27.46721692138232</c:v>
                </c:pt>
                <c:pt idx="953">
                  <c:v>27.46727531431689</c:v>
                </c:pt>
                <c:pt idx="954">
                  <c:v>27.46733370637126</c:v>
                </c:pt>
                <c:pt idx="955">
                  <c:v>27.467392097545414</c:v>
                </c:pt>
                <c:pt idx="956">
                  <c:v>27.467450487839386</c:v>
                </c:pt>
                <c:pt idx="957">
                  <c:v>27.467508877253167</c:v>
                </c:pt>
                <c:pt idx="958">
                  <c:v>27.467567265786769</c:v>
                </c:pt>
                <c:pt idx="959">
                  <c:v>27.467625653440233</c:v>
                </c:pt>
                <c:pt idx="960">
                  <c:v>27.467684040213516</c:v>
                </c:pt>
                <c:pt idx="961">
                  <c:v>27.467742426106685</c:v>
                </c:pt>
                <c:pt idx="962">
                  <c:v>27.467800811119712</c:v>
                </c:pt>
                <c:pt idx="963">
                  <c:v>27.467859195252604</c:v>
                </c:pt>
                <c:pt idx="964">
                  <c:v>27.467917578505396</c:v>
                </c:pt>
                <c:pt idx="965">
                  <c:v>27.467975960878078</c:v>
                </c:pt>
                <c:pt idx="966">
                  <c:v>27.468034342370654</c:v>
                </c:pt>
                <c:pt idx="967">
                  <c:v>27.468092722983169</c:v>
                </c:pt>
                <c:pt idx="968">
                  <c:v>27.468151102715613</c:v>
                </c:pt>
                <c:pt idx="969">
                  <c:v>27.468209481568007</c:v>
                </c:pt>
                <c:pt idx="970">
                  <c:v>27.468267859540333</c:v>
                </c:pt>
                <c:pt idx="971">
                  <c:v>27.468326236632606</c:v>
                </c:pt>
                <c:pt idx="972">
                  <c:v>27.468384612844869</c:v>
                </c:pt>
                <c:pt idx="973">
                  <c:v>27.468442988177095</c:v>
                </c:pt>
                <c:pt idx="974">
                  <c:v>27.468501362629315</c:v>
                </c:pt>
                <c:pt idx="975">
                  <c:v>27.468559736201527</c:v>
                </c:pt>
                <c:pt idx="976">
                  <c:v>27.468618108893772</c:v>
                </c:pt>
                <c:pt idx="977">
                  <c:v>27.468676480706009</c:v>
                </c:pt>
                <c:pt idx="978">
                  <c:v>27.468734851638281</c:v>
                </c:pt>
                <c:pt idx="979">
                  <c:v>27.468793221690589</c:v>
                </c:pt>
                <c:pt idx="980">
                  <c:v>27.468851590862954</c:v>
                </c:pt>
                <c:pt idx="981">
                  <c:v>27.468909959155358</c:v>
                </c:pt>
                <c:pt idx="982">
                  <c:v>27.468968326567865</c:v>
                </c:pt>
                <c:pt idx="983">
                  <c:v>27.469026693100421</c:v>
                </c:pt>
                <c:pt idx="984">
                  <c:v>27.469085058753077</c:v>
                </c:pt>
                <c:pt idx="985">
                  <c:v>27.469143423525828</c:v>
                </c:pt>
                <c:pt idx="986">
                  <c:v>27.469201787418687</c:v>
                </c:pt>
                <c:pt idx="987">
                  <c:v>27.469260150431673</c:v>
                </c:pt>
                <c:pt idx="988">
                  <c:v>27.469318512564783</c:v>
                </c:pt>
                <c:pt idx="989">
                  <c:v>27.469376873818021</c:v>
                </c:pt>
                <c:pt idx="990">
                  <c:v>27.469435234191408</c:v>
                </c:pt>
                <c:pt idx="991">
                  <c:v>27.46949359368497</c:v>
                </c:pt>
                <c:pt idx="992">
                  <c:v>27.46955195229868</c:v>
                </c:pt>
                <c:pt idx="993">
                  <c:v>27.469610310032589</c:v>
                </c:pt>
                <c:pt idx="994">
                  <c:v>27.46966866688668</c:v>
                </c:pt>
                <c:pt idx="995">
                  <c:v>27.46972702286098</c:v>
                </c:pt>
                <c:pt idx="996">
                  <c:v>27.469785377955468</c:v>
                </c:pt>
                <c:pt idx="997">
                  <c:v>27.46984373217019</c:v>
                </c:pt>
                <c:pt idx="998">
                  <c:v>27.469902085505126</c:v>
                </c:pt>
                <c:pt idx="999">
                  <c:v>27.469960437960317</c:v>
                </c:pt>
                <c:pt idx="1000">
                  <c:v>27.47001878953575</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Calculs!$I$4:$I$1004</c:f>
              <c:numCache>
                <c:formatCode>0.00</c:formatCode>
                <c:ptCount val="1001"/>
                <c:pt idx="0">
                  <c:v>153.12922149896602</c:v>
                </c:pt>
                <c:pt idx="1">
                  <c:v>153.05690735695796</c:v>
                </c:pt>
                <c:pt idx="2">
                  <c:v>153.39415992979775</c:v>
                </c:pt>
                <c:pt idx="3">
                  <c:v>153.90282284948032</c:v>
                </c:pt>
                <c:pt idx="4">
                  <c:v>154.34498452626113</c:v>
                </c:pt>
                <c:pt idx="5">
                  <c:v>154.7521148677933</c:v>
                </c:pt>
                <c:pt idx="6">
                  <c:v>155.15565406104696</c:v>
                </c:pt>
                <c:pt idx="7">
                  <c:v>155.55560518940314</c:v>
                </c:pt>
                <c:pt idx="8">
                  <c:v>155.95197141365585</c:v>
                </c:pt>
                <c:pt idx="9">
                  <c:v>156.34475597116605</c:v>
                </c:pt>
                <c:pt idx="10">
                  <c:v>156.73396217501522</c:v>
                </c:pt>
                <c:pt idx="11">
                  <c:v>157.11959341315838</c:v>
                </c:pt>
                <c:pt idx="12">
                  <c:v>157.50165314757692</c:v>
                </c:pt>
                <c:pt idx="13">
                  <c:v>157.88014491343122</c:v>
                </c:pt>
                <c:pt idx="14">
                  <c:v>158.25507231821319</c:v>
                </c:pt>
                <c:pt idx="15">
                  <c:v>158.6264390408989</c:v>
                </c:pt>
                <c:pt idx="16">
                  <c:v>158.99424883110137</c:v>
                </c:pt>
                <c:pt idx="17">
                  <c:v>159.35850550822357</c:v>
                </c:pt>
                <c:pt idx="18">
                  <c:v>159.71921296061183</c:v>
                </c:pt>
                <c:pt idx="19">
                  <c:v>160.07637514471006</c:v>
                </c:pt>
                <c:pt idx="20">
                  <c:v>160.42999608421394</c:v>
                </c:pt>
                <c:pt idx="21">
                  <c:v>160.7800798692264</c:v>
                </c:pt>
                <c:pt idx="22">
                  <c:v>161.12663065541372</c:v>
                </c:pt>
                <c:pt idx="23">
                  <c:v>161.46965266316238</c:v>
                </c:pt>
                <c:pt idx="24">
                  <c:v>161.80915017673735</c:v>
                </c:pt>
                <c:pt idx="25">
                  <c:v>162.14512754344091</c:v>
                </c:pt>
                <c:pt idx="26">
                  <c:v>162.47758917277338</c:v>
                </c:pt>
                <c:pt idx="27">
                  <c:v>162.8065395355946</c:v>
                </c:pt>
                <c:pt idx="28">
                  <c:v>163.13198316328715</c:v>
                </c:pt>
                <c:pt idx="29">
                  <c:v>163.45392464692091</c:v>
                </c:pt>
                <c:pt idx="30">
                  <c:v>163.77236863641949</c:v>
                </c:pt>
                <c:pt idx="31">
                  <c:v>164.08731983972783</c:v>
                </c:pt>
                <c:pt idx="32">
                  <c:v>164.3987830219823</c:v>
                </c:pt>
                <c:pt idx="33">
                  <c:v>164.70676300468213</c:v>
                </c:pt>
                <c:pt idx="34">
                  <c:v>165.01126466486298</c:v>
                </c:pt>
                <c:pt idx="35">
                  <c:v>165.31229293427265</c:v>
                </c:pt>
                <c:pt idx="36">
                  <c:v>165.60985279854879</c:v>
                </c:pt>
                <c:pt idx="37">
                  <c:v>165.90394929639891</c:v>
                </c:pt>
                <c:pt idx="38">
                  <c:v>166.19458751878267</c:v>
                </c:pt>
                <c:pt idx="39">
                  <c:v>166.48177260809658</c:v>
                </c:pt>
                <c:pt idx="40">
                  <c:v>166.76550975736109</c:v>
                </c:pt>
                <c:pt idx="41">
                  <c:v>167.04580420941036</c:v>
                </c:pt>
                <c:pt idx="42">
                  <c:v>167.32266125608442</c:v>
                </c:pt>
                <c:pt idx="43">
                  <c:v>167.59608623742429</c:v>
                </c:pt>
                <c:pt idx="44">
                  <c:v>167.86608454086968</c:v>
                </c:pt>
                <c:pt idx="45">
                  <c:v>168.13266160045953</c:v>
                </c:pt>
                <c:pt idx="46">
                  <c:v>168.39582289603558</c:v>
                </c:pt>
                <c:pt idx="47">
                  <c:v>168.65557395244878</c:v>
                </c:pt>
                <c:pt idx="48">
                  <c:v>168.91192033876885</c:v>
                </c:pt>
                <c:pt idx="49">
                  <c:v>169.16486766749685</c:v>
                </c:pt>
                <c:pt idx="50">
                  <c:v>169.41442159378096</c:v>
                </c:pt>
                <c:pt idx="51">
                  <c:v>169.66058781463568</c:v>
                </c:pt>
                <c:pt idx="52">
                  <c:v>169.90337206816383</c:v>
                </c:pt>
                <c:pt idx="53">
                  <c:v>170.14278013278258</c:v>
                </c:pt>
                <c:pt idx="54">
                  <c:v>170.37881782645229</c:v>
                </c:pt>
                <c:pt idx="55">
                  <c:v>170.61149100590927</c:v>
                </c:pt>
                <c:pt idx="56">
                  <c:v>170.8408055659018</c:v>
                </c:pt>
                <c:pt idx="57">
                  <c:v>171.06676743842985</c:v>
                </c:pt>
                <c:pt idx="58">
                  <c:v>171.28938259198841</c:v>
                </c:pt>
                <c:pt idx="59">
                  <c:v>171.50865703081456</c:v>
                </c:pt>
                <c:pt idx="60">
                  <c:v>171.72459679413811</c:v>
                </c:pt>
                <c:pt idx="61">
                  <c:v>171.93720795543641</c:v>
                </c:pt>
                <c:pt idx="62">
                  <c:v>172.14649662169256</c:v>
                </c:pt>
                <c:pt idx="63">
                  <c:v>172.34973253687701</c:v>
                </c:pt>
                <c:pt idx="64">
                  <c:v>172.54419018245355</c:v>
                </c:pt>
                <c:pt idx="65">
                  <c:v>172.72988678071681</c:v>
                </c:pt>
                <c:pt idx="66">
                  <c:v>172.90683970526013</c:v>
                </c:pt>
                <c:pt idx="67">
                  <c:v>173.07255785418334</c:v>
                </c:pt>
                <c:pt idx="68">
                  <c:v>173.22455485314273</c:v>
                </c:pt>
                <c:pt idx="69">
                  <c:v>173.35839713903192</c:v>
                </c:pt>
                <c:pt idx="70">
                  <c:v>173.46966004081261</c:v>
                </c:pt>
                <c:pt idx="71">
                  <c:v>173.5583921388681</c:v>
                </c:pt>
                <c:pt idx="72">
                  <c:v>173.62464279755204</c:v>
                </c:pt>
                <c:pt idx="73">
                  <c:v>173.66846213598896</c:v>
                </c:pt>
                <c:pt idx="74">
                  <c:v>173.68990099903891</c:v>
                </c:pt>
                <c:pt idx="75">
                  <c:v>173.68901092843527</c:v>
                </c:pt>
                <c:pt idx="76">
                  <c:v>173.665844134103</c:v>
                </c:pt>
                <c:pt idx="77">
                  <c:v>173.62045346566612</c:v>
                </c:pt>
                <c:pt idx="78">
                  <c:v>173.55289238415077</c:v>
                </c:pt>
                <c:pt idx="79">
                  <c:v>173.46321493389209</c:v>
                </c:pt>
                <c:pt idx="80">
                  <c:v>173.35147571465109</c:v>
                </c:pt>
                <c:pt idx="81">
                  <c:v>173.22303844352351</c:v>
                </c:pt>
                <c:pt idx="82">
                  <c:v>173.0832541582715</c:v>
                </c:pt>
                <c:pt idx="83">
                  <c:v>172.93215133119804</c:v>
                </c:pt>
                <c:pt idx="84">
                  <c:v>172.76975848497196</c:v>
                </c:pt>
                <c:pt idx="85">
                  <c:v>172.59610418583435</c:v>
                </c:pt>
                <c:pt idx="86">
                  <c:v>172.41121703687713</c:v>
                </c:pt>
                <c:pt idx="87">
                  <c:v>172.21512567139345</c:v>
                </c:pt>
                <c:pt idx="88">
                  <c:v>172.00785874630031</c:v>
                </c:pt>
                <c:pt idx="89">
                  <c:v>171.79112232111746</c:v>
                </c:pt>
                <c:pt idx="90">
                  <c:v>171.56661806861118</c:v>
                </c:pt>
                <c:pt idx="91">
                  <c:v>171.33436568348313</c:v>
                </c:pt>
                <c:pt idx="92">
                  <c:v>171.09438482090837</c:v>
                </c:pt>
                <c:pt idx="93">
                  <c:v>170.84711451282362</c:v>
                </c:pt>
                <c:pt idx="94">
                  <c:v>170.59299262820778</c:v>
                </c:pt>
                <c:pt idx="95">
                  <c:v>170.33203641897651</c:v>
                </c:pt>
                <c:pt idx="96">
                  <c:v>170.06426308376626</c:v>
                </c:pt>
                <c:pt idx="97">
                  <c:v>169.7913676260462</c:v>
                </c:pt>
                <c:pt idx="98">
                  <c:v>169.51504046240643</c:v>
                </c:pt>
                <c:pt idx="99">
                  <c:v>169.235289495497</c:v>
                </c:pt>
                <c:pt idx="100">
                  <c:v>168.95212258204126</c:v>
                </c:pt>
                <c:pt idx="101">
                  <c:v>168.66554753250551</c:v>
                </c:pt>
                <c:pt idx="102">
                  <c:v>168.37557211077439</c:v>
                </c:pt>
                <c:pt idx="103">
                  <c:v>168.08220403383115</c:v>
                </c:pt>
                <c:pt idx="104">
                  <c:v>167.78545097144362</c:v>
                </c:pt>
                <c:pt idx="105">
                  <c:v>167.48532054585479</c:v>
                </c:pt>
                <c:pt idx="106">
                  <c:v>167.18182033147869</c:v>
                </c:pt>
                <c:pt idx="107">
                  <c:v>166.8749578546014</c:v>
                </c:pt>
                <c:pt idx="108">
                  <c:v>166.56474059308684</c:v>
                </c:pt>
                <c:pt idx="109">
                  <c:v>166.25327354038674</c:v>
                </c:pt>
                <c:pt idx="110">
                  <c:v>165.94265592943486</c:v>
                </c:pt>
                <c:pt idx="111">
                  <c:v>165.63288372054197</c:v>
                </c:pt>
                <c:pt idx="112">
                  <c:v>165.32395289969125</c:v>
                </c:pt>
                <c:pt idx="113">
                  <c:v>165.01585947833422</c:v>
                </c:pt>
                <c:pt idx="114">
                  <c:v>164.70859949318859</c:v>
                </c:pt>
                <c:pt idx="115">
                  <c:v>164.40216900603792</c:v>
                </c:pt>
                <c:pt idx="116">
                  <c:v>164.09656410353347</c:v>
                </c:pt>
                <c:pt idx="117">
                  <c:v>163.79178089699755</c:v>
                </c:pt>
                <c:pt idx="118">
                  <c:v>163.4878155222292</c:v>
                </c:pt>
                <c:pt idx="119">
                  <c:v>163.18466413931131</c:v>
                </c:pt>
                <c:pt idx="120">
                  <c:v>162.88232293241978</c:v>
                </c:pt>
                <c:pt idx="121">
                  <c:v>162.5807881096346</c:v>
                </c:pt>
                <c:pt idx="122">
                  <c:v>162.28005590275225</c:v>
                </c:pt>
                <c:pt idx="123">
                  <c:v>161.98012256710058</c:v>
                </c:pt>
                <c:pt idx="124">
                  <c:v>161.68098438135473</c:v>
                </c:pt>
                <c:pt idx="125">
                  <c:v>161.38263764735527</c:v>
                </c:pt>
                <c:pt idx="126">
                  <c:v>161.08507868992788</c:v>
                </c:pt>
                <c:pt idx="127">
                  <c:v>160.78830385670463</c:v>
                </c:pt>
                <c:pt idx="128">
                  <c:v>160.49230951794712</c:v>
                </c:pt>
                <c:pt idx="129">
                  <c:v>160.19709206637117</c:v>
                </c:pt>
                <c:pt idx="130">
                  <c:v>159.90264791697308</c:v>
                </c:pt>
                <c:pt idx="131">
                  <c:v>159.60897350685775</c:v>
                </c:pt>
                <c:pt idx="132">
                  <c:v>159.31606529506811</c:v>
                </c:pt>
                <c:pt idx="133">
                  <c:v>159.02391976241643</c:v>
                </c:pt>
                <c:pt idx="134">
                  <c:v>158.73253341131672</c:v>
                </c:pt>
                <c:pt idx="135">
                  <c:v>158.44190276561952</c:v>
                </c:pt>
                <c:pt idx="136">
                  <c:v>158.15202437044715</c:v>
                </c:pt>
                <c:pt idx="137">
                  <c:v>157.86289479203148</c:v>
                </c:pt>
                <c:pt idx="138">
                  <c:v>157.57451061755242</c:v>
                </c:pt>
                <c:pt idx="139">
                  <c:v>157.2868684549785</c:v>
                </c:pt>
                <c:pt idx="140">
                  <c:v>156.99996493290851</c:v>
                </c:pt>
                <c:pt idx="141">
                  <c:v>156.71379670041472</c:v>
                </c:pt>
                <c:pt idx="142">
                  <c:v>156.42836042688762</c:v>
                </c:pt>
                <c:pt idx="143">
                  <c:v>156.14365280188204</c:v>
                </c:pt>
                <c:pt idx="144">
                  <c:v>155.85967053496449</c:v>
                </c:pt>
                <c:pt idx="145">
                  <c:v>155.57641035556225</c:v>
                </c:pt>
                <c:pt idx="146">
                  <c:v>155.29386901281359</c:v>
                </c:pt>
                <c:pt idx="147">
                  <c:v>155.01204327541933</c:v>
                </c:pt>
                <c:pt idx="148">
                  <c:v>154.73092993149589</c:v>
                </c:pt>
                <c:pt idx="149">
                  <c:v>154.45052578842964</c:v>
                </c:pt>
                <c:pt idx="150">
                  <c:v>154.17082767273246</c:v>
                </c:pt>
                <c:pt idx="151">
                  <c:v>153.89183242989873</c:v>
                </c:pt>
                <c:pt idx="152">
                  <c:v>153.6135369242636</c:v>
                </c:pt>
                <c:pt idx="153">
                  <c:v>153.33593803886245</c:v>
                </c:pt>
                <c:pt idx="154">
                  <c:v>153.05903267529175</c:v>
                </c:pt>
                <c:pt idx="155">
                  <c:v>152.78281775357101</c:v>
                </c:pt>
                <c:pt idx="156">
                  <c:v>152.5072902120061</c:v>
                </c:pt>
                <c:pt idx="157">
                  <c:v>152.23244700705376</c:v>
                </c:pt>
                <c:pt idx="158">
                  <c:v>151.95828511318737</c:v>
                </c:pt>
                <c:pt idx="159">
                  <c:v>151.68480152276365</c:v>
                </c:pt>
                <c:pt idx="160">
                  <c:v>151.41199324589113</c:v>
                </c:pt>
                <c:pt idx="161">
                  <c:v>151.13985731029905</c:v>
                </c:pt>
                <c:pt idx="162">
                  <c:v>150.8683907612081</c:v>
                </c:pt>
                <c:pt idx="163">
                  <c:v>150.59759066120182</c:v>
                </c:pt>
                <c:pt idx="164">
                  <c:v>150.32745409009951</c:v>
                </c:pt>
                <c:pt idx="165">
                  <c:v>150.05797814482989</c:v>
                </c:pt>
                <c:pt idx="166">
                  <c:v>149.78915993930627</c:v>
                </c:pt>
                <c:pt idx="167">
                  <c:v>149.52099660430255</c:v>
                </c:pt>
                <c:pt idx="168">
                  <c:v>149.25348528733045</c:v>
                </c:pt>
                <c:pt idx="169">
                  <c:v>148.98662315251767</c:v>
                </c:pt>
                <c:pt idx="170">
                  <c:v>148.7204073804873</c:v>
                </c:pt>
                <c:pt idx="171">
                  <c:v>148.45483516823822</c:v>
                </c:pt>
                <c:pt idx="172">
                  <c:v>148.18990372902664</c:v>
                </c:pt>
                <c:pt idx="173">
                  <c:v>147.92561029224831</c:v>
                </c:pt>
                <c:pt idx="174">
                  <c:v>147.66195210332225</c:v>
                </c:pt>
                <c:pt idx="175">
                  <c:v>147.39892642357529</c:v>
                </c:pt>
                <c:pt idx="176">
                  <c:v>147.13653053012752</c:v>
                </c:pt>
                <c:pt idx="177">
                  <c:v>146.87476171577882</c:v>
                </c:pt>
                <c:pt idx="178">
                  <c:v>146.61361728889639</c:v>
                </c:pt>
                <c:pt idx="179">
                  <c:v>146.35309457330339</c:v>
                </c:pt>
                <c:pt idx="180">
                  <c:v>146.09319090816814</c:v>
                </c:pt>
                <c:pt idx="181">
                  <c:v>145.83390364789477</c:v>
                </c:pt>
                <c:pt idx="182">
                  <c:v>145.57523016201452</c:v>
                </c:pt>
                <c:pt idx="183">
                  <c:v>145.31716783507801</c:v>
                </c:pt>
                <c:pt idx="184">
                  <c:v>145.05971406654851</c:v>
                </c:pt>
                <c:pt idx="185">
                  <c:v>144.80286627069611</c:v>
                </c:pt>
                <c:pt idx="186">
                  <c:v>144.54662187649279</c:v>
                </c:pt>
                <c:pt idx="187">
                  <c:v>144.29097832750841</c:v>
                </c:pt>
                <c:pt idx="188">
                  <c:v>144.03593308180749</c:v>
                </c:pt>
                <c:pt idx="189">
                  <c:v>143.78148361184697</c:v>
                </c:pt>
                <c:pt idx="190">
                  <c:v>143.52762740437498</c:v>
                </c:pt>
                <c:pt idx="191">
                  <c:v>143.27436196033014</c:v>
                </c:pt>
                <c:pt idx="192">
                  <c:v>143.02168479474207</c:v>
                </c:pt>
                <c:pt idx="193">
                  <c:v>142.76959343663233</c:v>
                </c:pt>
                <c:pt idx="194">
                  <c:v>142.51808542891681</c:v>
                </c:pt>
                <c:pt idx="195">
                  <c:v>142.26715832830828</c:v>
                </c:pt>
                <c:pt idx="196">
                  <c:v>142.01680970522028</c:v>
                </c:pt>
                <c:pt idx="197">
                  <c:v>141.76703714367153</c:v>
                </c:pt>
                <c:pt idx="198">
                  <c:v>141.51783824119127</c:v>
                </c:pt>
                <c:pt idx="199">
                  <c:v>141.26921060872536</c:v>
                </c:pt>
                <c:pt idx="200">
                  <c:v>141.02115187054321</c:v>
                </c:pt>
                <c:pt idx="201">
                  <c:v>138.54648085641145</c:v>
                </c:pt>
                <c:pt idx="202">
                  <c:v>136.127733457765</c:v>
                </c:pt>
                <c:pt idx="203">
                  <c:v>133.76263396292688</c:v>
                </c:pt>
                <c:pt idx="204">
                  <c:v>131.44902967873995</c:v>
                </c:pt>
                <c:pt idx="205">
                  <c:v>129.1848827765551</c:v>
                </c:pt>
                <c:pt idx="206">
                  <c:v>126.96826279019105</c:v>
                </c:pt>
                <c:pt idx="207">
                  <c:v>124.79733970627773</c:v>
                </c:pt>
                <c:pt idx="208">
                  <c:v>122.67037759360534</c:v>
                </c:pt>
                <c:pt idx="209">
                  <c:v>120.58572872359593</c:v>
                </c:pt>
                <c:pt idx="210">
                  <c:v>118.54182813888315</c:v>
                </c:pt>
                <c:pt idx="211">
                  <c:v>116.53718863130864</c:v>
                </c:pt>
                <c:pt idx="212">
                  <c:v>114.57039609448729</c:v>
                </c:pt>
                <c:pt idx="213">
                  <c:v>112.64010521951724</c:v>
                </c:pt>
                <c:pt idx="214">
                  <c:v>110.74503550546557</c:v>
                </c:pt>
                <c:pt idx="215">
                  <c:v>108.88396755899083</c:v>
                </c:pt>
                <c:pt idx="216">
                  <c:v>107.05573965990709</c:v>
                </c:pt>
                <c:pt idx="217">
                  <c:v>105.25924457168587</c:v>
                </c:pt>
                <c:pt idx="218">
                  <c:v>103.49342657786015</c:v>
                </c:pt>
                <c:pt idx="219">
                  <c:v>101.75727872706538</c:v>
                </c:pt>
                <c:pt idx="220">
                  <c:v>100.04984027104797</c:v>
                </c:pt>
                <c:pt idx="221">
                  <c:v>98.370194281412211</c:v>
                </c:pt>
                <c:pt idx="222">
                  <c:v>96.717465432179651</c:v>
                </c:pt>
                <c:pt idx="223">
                  <c:v>95.090817936415093</c:v>
                </c:pt>
                <c:pt idx="224">
                  <c:v>93.489453626245933</c:v>
                </c:pt>
                <c:pt idx="225">
                  <c:v>91.912610166576286</c:v>
                </c:pt>
                <c:pt idx="226">
                  <c:v>90.359559393687448</c:v>
                </c:pt>
                <c:pt idx="227">
                  <c:v>88.829605770728833</c:v>
                </c:pt>
                <c:pt idx="228">
                  <c:v>87.322084952849423</c:v>
                </c:pt>
                <c:pt idx="229">
                  <c:v>85.836362455404554</c:v>
                </c:pt>
                <c:pt idx="230">
                  <c:v>84.371832419304496</c:v>
                </c:pt>
                <c:pt idx="231">
                  <c:v>82.927916468156354</c:v>
                </c:pt>
                <c:pt idx="232">
                  <c:v>81.504062652392605</c:v>
                </c:pt>
                <c:pt idx="233">
                  <c:v>80.099744476086414</c:v>
                </c:pt>
                <c:pt idx="234">
                  <c:v>78.714460002627305</c:v>
                </c:pt>
                <c:pt idx="235">
                  <c:v>77.347731035876421</c:v>
                </c:pt>
                <c:pt idx="236">
                  <c:v>75.999102373842476</c:v>
                </c:pt>
                <c:pt idx="237">
                  <c:v>74.66814113231959</c:v>
                </c:pt>
                <c:pt idx="238">
                  <c:v>73.354436136311762</c:v>
                </c:pt>
                <c:pt idx="239">
                  <c:v>72.057597377436508</c:v>
                </c:pt>
                <c:pt idx="240">
                  <c:v>70.777255535856582</c:v>
                </c:pt>
                <c:pt idx="241">
                  <c:v>69.513061565634999</c:v>
                </c:pt>
                <c:pt idx="242">
                  <c:v>68.264686342747567</c:v>
                </c:pt>
                <c:pt idx="243">
                  <c:v>67.031820375320848</c:v>
                </c:pt>
                <c:pt idx="244">
                  <c:v>65.814173575992712</c:v>
                </c:pt>
                <c:pt idx="245">
                  <c:v>64.611475096620495</c:v>
                </c:pt>
                <c:pt idx="246">
                  <c:v>63.423473225887534</c:v>
                </c:pt>
                <c:pt idx="247">
                  <c:v>62.249935350684922</c:v>
                </c:pt>
                <c:pt idx="248">
                  <c:v>61.090647982470784</c:v>
                </c:pt>
                <c:pt idx="249">
                  <c:v>59.945416850134656</c:v>
                </c:pt>
                <c:pt idx="250">
                  <c:v>58.814067061218928</c:v>
                </c:pt>
                <c:pt idx="251">
                  <c:v>57.696443333670246</c:v>
                </c:pt>
                <c:pt idx="252">
                  <c:v>56.5924103006097</c:v>
                </c:pt>
                <c:pt idx="253">
                  <c:v>55.501852890916311</c:v>
                </c:pt>
                <c:pt idx="254">
                  <c:v>54.424676788709199</c:v>
                </c:pt>
                <c:pt idx="255">
                  <c:v>53.360808975081966</c:v>
                </c:pt>
                <c:pt idx="256">
                  <c:v>52.310198355677578</c:v>
                </c:pt>
                <c:pt idx="257">
                  <c:v>51.27281647788196</c:v>
                </c:pt>
                <c:pt idx="258">
                  <c:v>50.248658341541464</c:v>
                </c:pt>
                <c:pt idx="259">
                  <c:v>49.237743307153089</c:v>
                </c:pt>
                <c:pt idx="260">
                  <c:v>48.240116105410465</c:v>
                </c:pt>
                <c:pt idx="261">
                  <c:v>47.25584795177987</c:v>
                </c:pt>
                <c:pt idx="262">
                  <c:v>46.285037769388538</c:v>
                </c:pt>
                <c:pt idx="263">
                  <c:v>45.327813522882714</c:v>
                </c:pt>
                <c:pt idx="264">
                  <c:v>44.384333664994912</c:v>
                </c:pt>
                <c:pt idx="265">
                  <c:v>43.454788696275976</c:v>
                </c:pt>
                <c:pt idx="266">
                  <c:v>42.539402836711666</c:v>
                </c:pt>
                <c:pt idx="267">
                  <c:v>41.638435805654318</c:v>
                </c:pt>
                <c:pt idx="268">
                  <c:v>40.752184703538447</c:v>
                </c:pt>
                <c:pt idx="269">
                  <c:v>39.880985985081459</c:v>
                </c:pt>
                <c:pt idx="270">
                  <c:v>39.025217508944102</c:v>
                </c:pt>
                <c:pt idx="271">
                  <c:v>38.185300642975392</c:v>
                </c:pt>
                <c:pt idx="272">
                  <c:v>37.361702397017609</c:v>
                </c:pt>
                <c:pt idx="273">
                  <c:v>36.554937546623655</c:v>
                </c:pt>
                <c:pt idx="274">
                  <c:v>35.76557070077542</c:v>
                </c:pt>
                <c:pt idx="275">
                  <c:v>34.994218254656062</c:v>
                </c:pt>
                <c:pt idx="276">
                  <c:v>34.241550154644479</c:v>
                </c:pt>
                <c:pt idx="277">
                  <c:v>33.508291386986677</c:v>
                </c:pt>
                <c:pt idx="278">
                  <c:v>32.795223084218264</c:v>
                </c:pt>
                <c:pt idx="279">
                  <c:v>32.103183124727842</c:v>
                </c:pt>
                <c:pt idx="280">
                  <c:v>31.433066081498847</c:v>
                </c:pt>
                <c:pt idx="281">
                  <c:v>30.785822357031506</c:v>
                </c:pt>
                <c:pt idx="282">
                  <c:v>30.162456324137423</c:v>
                </c:pt>
                <c:pt idx="283">
                  <c:v>29.564023278621359</c:v>
                </c:pt>
                <c:pt idx="284">
                  <c:v>28.991625002246874</c:v>
                </c:pt>
                <c:pt idx="285">
                  <c:v>28.446403735763184</c:v>
                </c:pt>
                <c:pt idx="286">
                  <c:v>27.929534375486572</c:v>
                </c:pt>
                <c:pt idx="287">
                  <c:v>27.442214736490957</c:v>
                </c:pt>
                <c:pt idx="288">
                  <c:v>26.985653774174398</c:v>
                </c:pt>
                <c:pt idx="289">
                  <c:v>26.561057726391432</c:v>
                </c:pt>
                <c:pt idx="290">
                  <c:v>26.169614231602271</c:v>
                </c:pt>
                <c:pt idx="291">
                  <c:v>25.812474593504888</c:v>
                </c:pt>
                <c:pt idx="292">
                  <c:v>25.490734495346228</c:v>
                </c:pt>
                <c:pt idx="293">
                  <c:v>25.205413610020607</c:v>
                </c:pt>
                <c:pt idx="294">
                  <c:v>24.957434694012619</c:v>
                </c:pt>
                <c:pt idx="295">
                  <c:v>24.747602879991899</c:v>
                </c:pt>
                <c:pt idx="296">
                  <c:v>24.576585978374336</c:v>
                </c:pt>
                <c:pt idx="297">
                  <c:v>24.444896646632369</c:v>
                </c:pt>
                <c:pt idx="298">
                  <c:v>24.352877273600257</c:v>
                </c:pt>
                <c:pt idx="299">
                  <c:v>24.300688347033297</c:v>
                </c:pt>
                <c:pt idx="300">
                  <c:v>24.288300926492447</c:v>
                </c:pt>
                <c:pt idx="301">
                  <c:v>24.315493639250938</c:v>
                </c:pt>
                <c:pt idx="302">
                  <c:v>24.381854371640632</c:v>
                </c:pt>
                <c:pt idx="303">
                  <c:v>24.4867865655043</c:v>
                </c:pt>
                <c:pt idx="304">
                  <c:v>24.629519775343063</c:v>
                </c:pt>
                <c:pt idx="305">
                  <c:v>24.809123921187858</c:v>
                </c:pt>
                <c:pt idx="306">
                  <c:v>25.024526504970162</c:v>
                </c:pt>
                <c:pt idx="307">
                  <c:v>25.274531956296041</c:v>
                </c:pt>
                <c:pt idx="308">
                  <c:v>25.557842240301678</c:v>
                </c:pt>
                <c:pt idx="309">
                  <c:v>25.873077890678758</c:v>
                </c:pt>
                <c:pt idx="310">
                  <c:v>26.218798713576664</c:v>
                </c:pt>
                <c:pt idx="311">
                  <c:v>26.593523527663681</c:v>
                </c:pt>
                <c:pt idx="312">
                  <c:v>26.995748445790841</c:v>
                </c:pt>
                <c:pt idx="313">
                  <c:v>27.423963349260688</c:v>
                </c:pt>
                <c:pt idx="314">
                  <c:v>27.876666344237815</c:v>
                </c:pt>
                <c:pt idx="315">
                  <c:v>28.352376112483341</c:v>
                </c:pt>
                <c:pt idx="316">
                  <c:v>28.849642170126106</c:v>
                </c:pt>
                <c:pt idx="317">
                  <c:v>29.367053126593049</c:v>
                </c:pt>
                <c:pt idx="318">
                  <c:v>29.903243091612218</c:v>
                </c:pt>
                <c:pt idx="319">
                  <c:v>30.45689641359402</c:v>
                </c:pt>
                <c:pt idx="320">
                  <c:v>31.026750950882654</c:v>
                </c:pt>
                <c:pt idx="321">
                  <c:v>31.611600081913121</c:v>
                </c:pt>
                <c:pt idx="322">
                  <c:v>32.210293654703044</c:v>
                </c:pt>
                <c:pt idx="323">
                  <c:v>32.821738063494905</c:v>
                </c:pt>
                <c:pt idx="324">
                  <c:v>33.444895623390948</c:v>
                </c:pt>
                <c:pt idx="325">
                  <c:v>34.07878339459625</c:v>
                </c:pt>
                <c:pt idx="326">
                  <c:v>34.722471587991201</c:v>
                </c:pt>
                <c:pt idx="327">
                  <c:v>35.375081664319438</c:v>
                </c:pt>
                <c:pt idx="328">
                  <c:v>36.035784221045226</c:v>
                </c:pt>
                <c:pt idx="329">
                  <c:v>36.703796744346647</c:v>
                </c:pt>
                <c:pt idx="330">
                  <c:v>37.378381288983434</c:v>
                </c:pt>
                <c:pt idx="331">
                  <c:v>38.058842135962188</c:v>
                </c:pt>
                <c:pt idx="332">
                  <c:v>38.744523466960196</c:v>
                </c:pt>
                <c:pt idx="333">
                  <c:v>39.434807085234631</c:v>
                </c:pt>
                <c:pt idx="334">
                  <c:v>40.12911020507206</c:v>
                </c:pt>
                <c:pt idx="335">
                  <c:v>40.826883325542646</c:v>
                </c:pt>
                <c:pt idx="336">
                  <c:v>41.527608199230386</c:v>
                </c:pt>
                <c:pt idx="337">
                  <c:v>42.230795902541942</c:v>
                </c:pt>
                <c:pt idx="338">
                  <c:v>42.935985010989945</c:v>
                </c:pt>
                <c:pt idx="339">
                  <c:v>43.64273988035886</c:v>
                </c:pt>
                <c:pt idx="340">
                  <c:v>44.350649032765212</c:v>
                </c:pt>
                <c:pt idx="341">
                  <c:v>45.059323645211457</c:v>
                </c:pt>
                <c:pt idx="342">
                  <c:v>45.768396137209329</c:v>
                </c:pt>
                <c:pt idx="343">
                  <c:v>46.477518853337486</c:v>
                </c:pt>
                <c:pt idx="344">
                  <c:v>47.186362836133988</c:v>
                </c:pt>
                <c:pt idx="345">
                  <c:v>47.89461668445265</c:v>
                </c:pt>
                <c:pt idx="346">
                  <c:v>48.601985492290204</c:v>
                </c:pt>
                <c:pt idx="347">
                  <c:v>49.308189863082873</c:v>
                </c:pt>
                <c:pt idx="348">
                  <c:v>50.012964994546586</c:v>
                </c:pt>
                <c:pt idx="349">
                  <c:v>50.716059829273462</c:v>
                </c:pt>
                <c:pt idx="350">
                  <c:v>51.417236266478625</c:v>
                </c:pt>
                <c:pt idx="351">
                  <c:v>52.116268430502018</c:v>
                </c:pt>
                <c:pt idx="352">
                  <c:v>52.81294199189913</c:v>
                </c:pt>
                <c:pt idx="353">
                  <c:v>53.507053537192995</c:v>
                </c:pt>
                <c:pt idx="354">
                  <c:v>54.198409983601017</c:v>
                </c:pt>
                <c:pt idx="355">
                  <c:v>54.886828035290272</c:v>
                </c:pt>
                <c:pt idx="356">
                  <c:v>55.572133677948756</c:v>
                </c:pt>
                <c:pt idx="357">
                  <c:v>56.254161708686347</c:v>
                </c:pt>
                <c:pt idx="358">
                  <c:v>56.932755298495778</c:v>
                </c:pt>
                <c:pt idx="359">
                  <c:v>57.60776558470927</c:v>
                </c:pt>
                <c:pt idx="360">
                  <c:v>58.279051291081032</c:v>
                </c:pt>
                <c:pt idx="361">
                  <c:v>58.946478373307599</c:v>
                </c:pt>
                <c:pt idx="362">
                  <c:v>59.609919687969303</c:v>
                </c:pt>
                <c:pt idx="363">
                  <c:v>60.269254683034767</c:v>
                </c:pt>
                <c:pt idx="364">
                  <c:v>60.924369108218571</c:v>
                </c:pt>
                <c:pt idx="365">
                  <c:v>61.575154743619393</c:v>
                </c:pt>
                <c:pt idx="366">
                  <c:v>62.221509145192961</c:v>
                </c:pt>
                <c:pt idx="367">
                  <c:v>62.863335405731668</c:v>
                </c:pt>
                <c:pt idx="368">
                  <c:v>63.500541930131035</c:v>
                </c:pt>
                <c:pt idx="369">
                  <c:v>64.133042223822983</c:v>
                </c:pt>
                <c:pt idx="370">
                  <c:v>64.76075469334809</c:v>
                </c:pt>
                <c:pt idx="371">
                  <c:v>65.38360245812342</c:v>
                </c:pt>
                <c:pt idx="372">
                  <c:v>66.001513172540427</c:v>
                </c:pt>
                <c:pt idx="373">
                  <c:v>66.614418857599006</c:v>
                </c:pt>
                <c:pt idx="374">
                  <c:v>67.222255741349244</c:v>
                </c:pt>
                <c:pt idx="375">
                  <c:v>67.824964107472823</c:v>
                </c:pt>
                <c:pt idx="376">
                  <c:v>68.422488151391619</c:v>
                </c:pt>
                <c:pt idx="377">
                  <c:v>69.014775843341184</c:v>
                </c:pt>
                <c:pt idx="378">
                  <c:v>69.601778797894283</c:v>
                </c:pt>
                <c:pt idx="379">
                  <c:v>70.183452149461345</c:v>
                </c:pt>
                <c:pt idx="380">
                  <c:v>70.759754433335004</c:v>
                </c:pt>
                <c:pt idx="381">
                  <c:v>71.330647471880965</c:v>
                </c:pt>
                <c:pt idx="382">
                  <c:v>71.896096265510721</c:v>
                </c:pt>
                <c:pt idx="383">
                  <c:v>72.456068888102294</c:v>
                </c:pt>
                <c:pt idx="384">
                  <c:v>73.010536386561938</c:v>
                </c:pt>
                <c:pt idx="385">
                  <c:v>73.559472684246316</c:v>
                </c:pt>
                <c:pt idx="386">
                  <c:v>74.102854487987003</c:v>
                </c:pt>
                <c:pt idx="387">
                  <c:v>74.640661198481254</c:v>
                </c:pt>
                <c:pt idx="388">
                  <c:v>75.172874823832061</c:v>
                </c:pt>
                <c:pt idx="389">
                  <c:v>75.699479896038952</c:v>
                </c:pt>
                <c:pt idx="390">
                  <c:v>76.220463390257066</c:v>
                </c:pt>
                <c:pt idx="391">
                  <c:v>76.735814646657488</c:v>
                </c:pt>
                <c:pt idx="392">
                  <c:v>77.245525294735515</c:v>
                </c:pt>
                <c:pt idx="393">
                  <c:v>77.749589179926161</c:v>
                </c:pt>
                <c:pt idx="394">
                  <c:v>78.248002292398056</c:v>
                </c:pt>
                <c:pt idx="395">
                  <c:v>78.740762697907471</c:v>
                </c:pt>
                <c:pt idx="396">
                  <c:v>79.227870470603747</c:v>
                </c:pt>
                <c:pt idx="397">
                  <c:v>79.709327627686974</c:v>
                </c:pt>
                <c:pt idx="398">
                  <c:v>80.185138065826251</c:v>
                </c:pt>
                <c:pt idx="399">
                  <c:v>80.655307499254761</c:v>
                </c:pt>
                <c:pt idx="400">
                  <c:v>81.119843399464926</c:v>
                </c:pt>
                <c:pt idx="401">
                  <c:v>81.578754936432702</c:v>
                </c:pt>
                <c:pt idx="402">
                  <c:v>82.032052921306388</c:v>
                </c:pt>
                <c:pt idx="403">
                  <c:v>82.479749750500076</c:v>
                </c:pt>
                <c:pt idx="404">
                  <c:v>82.921859351137186</c:v>
                </c:pt>
                <c:pt idx="405">
                  <c:v>83.358397127793467</c:v>
                </c:pt>
                <c:pt idx="406">
                  <c:v>83.789379910493125</c:v>
                </c:pt>
                <c:pt idx="407">
                  <c:v>84.214825903915454</c:v>
                </c:pt>
                <c:pt idx="408">
                  <c:v>84.634754637772332</c:v>
                </c:pt>
                <c:pt idx="409">
                  <c:v>85.049186918320459</c:v>
                </c:pt>
                <c:pt idx="410">
                  <c:v>85.458144780974692</c:v>
                </c:pt>
                <c:pt idx="411">
                  <c:v>85.861651443991178</c:v>
                </c:pt>
                <c:pt idx="412">
                  <c:v>86.259731263191924</c:v>
                </c:pt>
                <c:pt idx="413">
                  <c:v>86.652409687703738</c:v>
                </c:pt>
                <c:pt idx="414">
                  <c:v>87.039713216686906</c:v>
                </c:pt>
                <c:pt idx="415">
                  <c:v>87.421669357030467</c:v>
                </c:pt>
                <c:pt idx="416">
                  <c:v>87.798306581992463</c:v>
                </c:pt>
                <c:pt idx="417">
                  <c:v>88.169654290765152</c:v>
                </c:pt>
                <c:pt idx="418">
                  <c:v>88.535742768946051</c:v>
                </c:pt>
                <c:pt idx="419">
                  <c:v>88.896603149897217</c:v>
                </c:pt>
                <c:pt idx="420">
                  <c:v>89.252267376975993</c:v>
                </c:pt>
                <c:pt idx="421">
                  <c:v>89.602768166621217</c:v>
                </c:pt>
                <c:pt idx="422">
                  <c:v>89.948138972280105</c:v>
                </c:pt>
                <c:pt idx="423">
                  <c:v>90.288413949161409</c:v>
                </c:pt>
                <c:pt idx="424">
                  <c:v>90.62362791980118</c:v>
                </c:pt>
                <c:pt idx="425">
                  <c:v>90.953816340428162</c:v>
                </c:pt>
                <c:pt idx="426">
                  <c:v>91.279015268116183</c:v>
                </c:pt>
                <c:pt idx="427">
                  <c:v>91.599261328711734</c:v>
                </c:pt>
                <c:pt idx="428">
                  <c:v>91.914591685524599</c:v>
                </c:pt>
                <c:pt idx="429">
                  <c:v>92.225044008770794</c:v>
                </c:pt>
                <c:pt idx="430">
                  <c:v>92.530656445756222</c:v>
                </c:pt>
                <c:pt idx="431">
                  <c:v>92.831467591790883</c:v>
                </c:pt>
                <c:pt idx="432">
                  <c:v>93.127516461822566</c:v>
                </c:pt>
                <c:pt idx="433">
                  <c:v>93.41884246278029</c:v>
                </c:pt>
                <c:pt idx="434">
                  <c:v>93.705485366616941</c:v>
                </c:pt>
                <c:pt idx="435">
                  <c:v>93.987485284041398</c:v>
                </c:pt>
                <c:pt idx="436">
                  <c:v>94.264882638930217</c:v>
                </c:pt>
                <c:pt idx="437">
                  <c:v>94.537718143409109</c:v>
                </c:pt>
                <c:pt idx="438">
                  <c:v>94.806032773594737</c:v>
                </c:pt>
                <c:pt idx="439">
                  <c:v>95.06986774598704</c:v>
                </c:pt>
                <c:pt idx="440">
                  <c:v>95.329264494502837</c:v>
                </c:pt>
                <c:pt idx="441">
                  <c:v>95.584264648141072</c:v>
                </c:pt>
                <c:pt idx="442">
                  <c:v>95.834910009270445</c:v>
                </c:pt>
                <c:pt idx="443">
                  <c:v>96.081242532529956</c:v>
                </c:pt>
                <c:pt idx="444">
                  <c:v>96.32330430433322</c:v>
                </c:pt>
                <c:pt idx="445">
                  <c:v>96.561137522966902</c:v>
                </c:pt>
                <c:pt idx="446">
                  <c:v>96.794784479274369</c:v>
                </c:pt>
                <c:pt idx="447">
                  <c:v>97.024287537915129</c:v>
                </c:pt>
                <c:pt idx="448">
                  <c:v>97.24968911919062</c:v>
                </c:pt>
                <c:pt idx="449">
                  <c:v>97.47103168142749</c:v>
                </c:pt>
                <c:pt idx="450">
                  <c:v>97.688357703908736</c:v>
                </c:pt>
                <c:pt idx="451">
                  <c:v>97.901709670343806</c:v>
                </c:pt>
                <c:pt idx="452">
                  <c:v>98.111130052868305</c:v>
                </c:pt>
                <c:pt idx="453">
                  <c:v>98.316661296564064</c:v>
                </c:pt>
                <c:pt idx="454">
                  <c:v>98.51834580449048</c:v>
                </c:pt>
                <c:pt idx="455">
                  <c:v>98.716225923218147</c:v>
                </c:pt>
                <c:pt idx="456">
                  <c:v>98.910343928855113</c:v>
                </c:pt>
                <c:pt idx="457">
                  <c:v>99.100742013557365</c:v>
                </c:pt>
                <c:pt idx="458">
                  <c:v>99.287462272513821</c:v>
                </c:pt>
                <c:pt idx="459">
                  <c:v>99.470546691397089</c:v>
                </c:pt>
                <c:pt idx="460">
                  <c:v>99.650037134271031</c:v>
                </c:pt>
                <c:pt idx="461">
                  <c:v>99.825975331945827</c:v>
                </c:pt>
                <c:pt idx="462">
                  <c:v>99.998402870771997</c:v>
                </c:pt>
                <c:pt idx="463">
                  <c:v>100.16736118186408</c:v>
                </c:pt>
                <c:pt idx="464">
                  <c:v>100.33289153074536</c:v>
                </c:pt>
                <c:pt idx="465">
                  <c:v>100.49503500740477</c:v>
                </c:pt>
                <c:pt idx="466">
                  <c:v>100.65383251675708</c:v>
                </c:pt>
                <c:pt idx="467">
                  <c:v>100.80932476949805</c:v>
                </c:pt>
                <c:pt idx="468">
                  <c:v>100.96155227334523</c:v>
                </c:pt>
                <c:pt idx="469">
                  <c:v>101.11055532465664</c:v>
                </c:pt>
                <c:pt idx="470">
                  <c:v>101.25637400041811</c:v>
                </c:pt>
                <c:pt idx="471">
                  <c:v>101.39904815059131</c:v>
                </c:pt>
                <c:pt idx="472">
                  <c:v>101.5386173908139</c:v>
                </c:pt>
                <c:pt idx="473">
                  <c:v>101.67512109544349</c:v>
                </c:pt>
                <c:pt idx="474">
                  <c:v>101.80859839093726</c:v>
                </c:pt>
                <c:pt idx="475">
                  <c:v>101.93908814955924</c:v>
                </c:pt>
                <c:pt idx="476">
                  <c:v>102.06662898340684</c:v>
                </c:pt>
                <c:pt idx="477">
                  <c:v>102.19125923874913</c:v>
                </c:pt>
                <c:pt idx="478">
                  <c:v>102.31301699066859</c:v>
                </c:pt>
                <c:pt idx="479">
                  <c:v>102.43194003799891</c:v>
                </c:pt>
                <c:pt idx="480">
                  <c:v>102.54806589855096</c:v>
                </c:pt>
                <c:pt idx="481">
                  <c:v>102.66143180461927</c:v>
                </c:pt>
                <c:pt idx="482">
                  <c:v>102.77207469876194</c:v>
                </c:pt>
                <c:pt idx="483">
                  <c:v>102.88003122984604</c:v>
                </c:pt>
                <c:pt idx="484">
                  <c:v>102.98533774935167</c:v>
                </c:pt>
                <c:pt idx="485">
                  <c:v>103.08803030792747</c:v>
                </c:pt>
                <c:pt idx="486">
                  <c:v>103.18814465219006</c:v>
                </c:pt>
                <c:pt idx="487">
                  <c:v>103.28571622176113</c:v>
                </c:pt>
                <c:pt idx="488">
                  <c:v>103.3807801465348</c:v>
                </c:pt>
                <c:pt idx="489">
                  <c:v>103.47337124416883</c:v>
                </c:pt>
                <c:pt idx="490">
                  <c:v>103.56352401779279</c:v>
                </c:pt>
                <c:pt idx="491">
                  <c:v>103.65127265392688</c:v>
                </c:pt>
                <c:pt idx="492">
                  <c:v>103.73665102060488</c:v>
                </c:pt>
                <c:pt idx="493">
                  <c:v>103.819692665695</c:v>
                </c:pt>
                <c:pt idx="494">
                  <c:v>103.90043081541235</c:v>
                </c:pt>
                <c:pt idx="495">
                  <c:v>103.9788983730171</c:v>
                </c:pt>
                <c:pt idx="496">
                  <c:v>104.05512791769219</c:v>
                </c:pt>
                <c:pt idx="497">
                  <c:v>104.12915170359487</c:v>
                </c:pt>
                <c:pt idx="498">
                  <c:v>104.20100165907637</c:v>
                </c:pt>
                <c:pt idx="499">
                  <c:v>104.27070938606393</c:v>
                </c:pt>
                <c:pt idx="500">
                  <c:v>104.33830615959977</c:v>
                </c:pt>
                <c:pt idx="501">
                  <c:v>104.40382292753166</c:v>
                </c:pt>
                <c:pt idx="502">
                  <c:v>104.46729031034963</c:v>
                </c:pt>
                <c:pt idx="503">
                  <c:v>104.52873860116387</c:v>
                </c:pt>
                <c:pt idx="504">
                  <c:v>104.58819776581853</c:v>
                </c:pt>
                <c:pt idx="505">
                  <c:v>104.58825524240036</c:v>
                </c:pt>
                <c:pt idx="506">
                  <c:v>104.58831271705523</c:v>
                </c:pt>
                <c:pt idx="507">
                  <c:v>104.58837018978318</c:v>
                </c:pt>
                <c:pt idx="508">
                  <c:v>104.58842766058422</c:v>
                </c:pt>
                <c:pt idx="509">
                  <c:v>104.58848512945838</c:v>
                </c:pt>
                <c:pt idx="510">
                  <c:v>104.58854259640569</c:v>
                </c:pt>
                <c:pt idx="511">
                  <c:v>104.58860006142618</c:v>
                </c:pt>
                <c:pt idx="512">
                  <c:v>104.58865752451989</c:v>
                </c:pt>
                <c:pt idx="513">
                  <c:v>104.58871498568683</c:v>
                </c:pt>
                <c:pt idx="514">
                  <c:v>104.58877244492703</c:v>
                </c:pt>
                <c:pt idx="515">
                  <c:v>104.58882990224055</c:v>
                </c:pt>
                <c:pt idx="516">
                  <c:v>104.58888735762737</c:v>
                </c:pt>
                <c:pt idx="517">
                  <c:v>104.58894481108757</c:v>
                </c:pt>
                <c:pt idx="518">
                  <c:v>104.58900226262114</c:v>
                </c:pt>
                <c:pt idx="519">
                  <c:v>104.58905971222811</c:v>
                </c:pt>
                <c:pt idx="520">
                  <c:v>104.58911715990853</c:v>
                </c:pt>
                <c:pt idx="521">
                  <c:v>104.58917460566242</c:v>
                </c:pt>
                <c:pt idx="522">
                  <c:v>104.58923204948981</c:v>
                </c:pt>
                <c:pt idx="523">
                  <c:v>104.58928949139073</c:v>
                </c:pt>
                <c:pt idx="524">
                  <c:v>104.5893469313652</c:v>
                </c:pt>
                <c:pt idx="525">
                  <c:v>104.58940436941326</c:v>
                </c:pt>
                <c:pt idx="526">
                  <c:v>104.58946180553492</c:v>
                </c:pt>
                <c:pt idx="527">
                  <c:v>104.58951923973024</c:v>
                </c:pt>
                <c:pt idx="528">
                  <c:v>104.58957667199923</c:v>
                </c:pt>
                <c:pt idx="529">
                  <c:v>104.5896341023419</c:v>
                </c:pt>
                <c:pt idx="530">
                  <c:v>104.58969153075832</c:v>
                </c:pt>
                <c:pt idx="531">
                  <c:v>104.58974895724849</c:v>
                </c:pt>
                <c:pt idx="532">
                  <c:v>104.58980638181245</c:v>
                </c:pt>
                <c:pt idx="533">
                  <c:v>104.58986380445022</c:v>
                </c:pt>
                <c:pt idx="534">
                  <c:v>104.58992122516185</c:v>
                </c:pt>
                <c:pt idx="535">
                  <c:v>104.58997864394732</c:v>
                </c:pt>
                <c:pt idx="536">
                  <c:v>104.59003606080671</c:v>
                </c:pt>
                <c:pt idx="537">
                  <c:v>104.59009347574003</c:v>
                </c:pt>
                <c:pt idx="538">
                  <c:v>104.5901508887473</c:v>
                </c:pt>
                <c:pt idx="539">
                  <c:v>104.59020829982857</c:v>
                </c:pt>
                <c:pt idx="540">
                  <c:v>104.59026570898386</c:v>
                </c:pt>
                <c:pt idx="541">
                  <c:v>104.59032311621318</c:v>
                </c:pt>
                <c:pt idx="542">
                  <c:v>104.59038052151658</c:v>
                </c:pt>
                <c:pt idx="543">
                  <c:v>104.59043792489409</c:v>
                </c:pt>
                <c:pt idx="544">
                  <c:v>104.59049532634572</c:v>
                </c:pt>
                <c:pt idx="545">
                  <c:v>104.59055272587152</c:v>
                </c:pt>
                <c:pt idx="546">
                  <c:v>104.59061012347149</c:v>
                </c:pt>
                <c:pt idx="547">
                  <c:v>104.59066751914571</c:v>
                </c:pt>
                <c:pt idx="548">
                  <c:v>104.59072491289416</c:v>
                </c:pt>
                <c:pt idx="549">
                  <c:v>104.59078230471688</c:v>
                </c:pt>
                <c:pt idx="550">
                  <c:v>104.59083969461392</c:v>
                </c:pt>
                <c:pt idx="551">
                  <c:v>104.59089708258529</c:v>
                </c:pt>
                <c:pt idx="552">
                  <c:v>104.59095446863101</c:v>
                </c:pt>
                <c:pt idx="553">
                  <c:v>104.59101185275112</c:v>
                </c:pt>
                <c:pt idx="554">
                  <c:v>104.59106923494566</c:v>
                </c:pt>
                <c:pt idx="555">
                  <c:v>104.59112661521465</c:v>
                </c:pt>
                <c:pt idx="556">
                  <c:v>104.5911839935581</c:v>
                </c:pt>
                <c:pt idx="557">
                  <c:v>104.59124136997609</c:v>
                </c:pt>
                <c:pt idx="558">
                  <c:v>104.59129874446859</c:v>
                </c:pt>
                <c:pt idx="559">
                  <c:v>104.59135611703566</c:v>
                </c:pt>
                <c:pt idx="560">
                  <c:v>104.5914134876773</c:v>
                </c:pt>
                <c:pt idx="561">
                  <c:v>104.59147085639358</c:v>
                </c:pt>
                <c:pt idx="562">
                  <c:v>104.59152822318451</c:v>
                </c:pt>
                <c:pt idx="563">
                  <c:v>104.59158558805012</c:v>
                </c:pt>
                <c:pt idx="564">
                  <c:v>104.59164295099043</c:v>
                </c:pt>
                <c:pt idx="565">
                  <c:v>104.59170031200549</c:v>
                </c:pt>
                <c:pt idx="566">
                  <c:v>104.59175767109529</c:v>
                </c:pt>
                <c:pt idx="567">
                  <c:v>104.59181502825993</c:v>
                </c:pt>
                <c:pt idx="568">
                  <c:v>104.59187238349936</c:v>
                </c:pt>
                <c:pt idx="569">
                  <c:v>104.59192973681364</c:v>
                </c:pt>
                <c:pt idx="570">
                  <c:v>104.5919870882028</c:v>
                </c:pt>
                <c:pt idx="571">
                  <c:v>104.59204443766687</c:v>
                </c:pt>
                <c:pt idx="572">
                  <c:v>104.59210178520588</c:v>
                </c:pt>
                <c:pt idx="573">
                  <c:v>104.59215913081988</c:v>
                </c:pt>
                <c:pt idx="574">
                  <c:v>104.59221647450885</c:v>
                </c:pt>
                <c:pt idx="575">
                  <c:v>104.59227381627285</c:v>
                </c:pt>
                <c:pt idx="576">
                  <c:v>104.5923311561119</c:v>
                </c:pt>
                <c:pt idx="577">
                  <c:v>104.59238849402603</c:v>
                </c:pt>
                <c:pt idx="578">
                  <c:v>104.59244583001527</c:v>
                </c:pt>
                <c:pt idx="579">
                  <c:v>104.59250316407964</c:v>
                </c:pt>
                <c:pt idx="580">
                  <c:v>104.59256049621921</c:v>
                </c:pt>
                <c:pt idx="581">
                  <c:v>104.59261782643395</c:v>
                </c:pt>
                <c:pt idx="582">
                  <c:v>104.59267515472392</c:v>
                </c:pt>
                <c:pt idx="583">
                  <c:v>104.59273248108916</c:v>
                </c:pt>
                <c:pt idx="584">
                  <c:v>104.59278980552966</c:v>
                </c:pt>
                <c:pt idx="585">
                  <c:v>104.59284712804551</c:v>
                </c:pt>
                <c:pt idx="586">
                  <c:v>104.59290444863667</c:v>
                </c:pt>
                <c:pt idx="587">
                  <c:v>104.59296176730321</c:v>
                </c:pt>
                <c:pt idx="588">
                  <c:v>104.59301908404514</c:v>
                </c:pt>
                <c:pt idx="589">
                  <c:v>104.59307639886249</c:v>
                </c:pt>
                <c:pt idx="590">
                  <c:v>104.59313371175531</c:v>
                </c:pt>
                <c:pt idx="591">
                  <c:v>104.59319102272362</c:v>
                </c:pt>
                <c:pt idx="592">
                  <c:v>104.59324833176743</c:v>
                </c:pt>
                <c:pt idx="593">
                  <c:v>104.59330563888678</c:v>
                </c:pt>
                <c:pt idx="594">
                  <c:v>104.5933629440817</c:v>
                </c:pt>
                <c:pt idx="595">
                  <c:v>104.59342024735223</c:v>
                </c:pt>
                <c:pt idx="596">
                  <c:v>104.59347754869837</c:v>
                </c:pt>
                <c:pt idx="597">
                  <c:v>104.5935348481202</c:v>
                </c:pt>
                <c:pt idx="598">
                  <c:v>104.59359214561771</c:v>
                </c:pt>
                <c:pt idx="599">
                  <c:v>104.59364944119092</c:v>
                </c:pt>
                <c:pt idx="600">
                  <c:v>104.59370673483987</c:v>
                </c:pt>
                <c:pt idx="601">
                  <c:v>104.59376402656459</c:v>
                </c:pt>
                <c:pt idx="602">
                  <c:v>104.59382131636512</c:v>
                </c:pt>
                <c:pt idx="603">
                  <c:v>104.59387860424148</c:v>
                </c:pt>
                <c:pt idx="604">
                  <c:v>104.59393589019371</c:v>
                </c:pt>
                <c:pt idx="605">
                  <c:v>104.59399317422181</c:v>
                </c:pt>
                <c:pt idx="606">
                  <c:v>104.59405045632586</c:v>
                </c:pt>
                <c:pt idx="607">
                  <c:v>104.5941077365058</c:v>
                </c:pt>
                <c:pt idx="608">
                  <c:v>104.59416501476176</c:v>
                </c:pt>
                <c:pt idx="609">
                  <c:v>104.5942222910937</c:v>
                </c:pt>
                <c:pt idx="610">
                  <c:v>104.59427956550168</c:v>
                </c:pt>
                <c:pt idx="611">
                  <c:v>104.59433683798572</c:v>
                </c:pt>
                <c:pt idx="612">
                  <c:v>104.59439410854584</c:v>
                </c:pt>
                <c:pt idx="613">
                  <c:v>104.59445137718208</c:v>
                </c:pt>
                <c:pt idx="614">
                  <c:v>104.59450864389449</c:v>
                </c:pt>
                <c:pt idx="615">
                  <c:v>104.59456590868304</c:v>
                </c:pt>
                <c:pt idx="616">
                  <c:v>104.59462317154781</c:v>
                </c:pt>
                <c:pt idx="617">
                  <c:v>104.5946804324888</c:v>
                </c:pt>
                <c:pt idx="618">
                  <c:v>104.59473769150607</c:v>
                </c:pt>
                <c:pt idx="619">
                  <c:v>104.59479494859961</c:v>
                </c:pt>
                <c:pt idx="620">
                  <c:v>104.59485220376949</c:v>
                </c:pt>
                <c:pt idx="621">
                  <c:v>104.5949094570157</c:v>
                </c:pt>
                <c:pt idx="622">
                  <c:v>104.5949667083383</c:v>
                </c:pt>
                <c:pt idx="623">
                  <c:v>104.59502395773731</c:v>
                </c:pt>
                <c:pt idx="624">
                  <c:v>104.59508120521274</c:v>
                </c:pt>
                <c:pt idx="625">
                  <c:v>104.59513845076464</c:v>
                </c:pt>
                <c:pt idx="626">
                  <c:v>104.59519569439301</c:v>
                </c:pt>
                <c:pt idx="627">
                  <c:v>104.59525293609795</c:v>
                </c:pt>
                <c:pt idx="628">
                  <c:v>104.5953101758794</c:v>
                </c:pt>
                <c:pt idx="629">
                  <c:v>104.59536741373745</c:v>
                </c:pt>
                <c:pt idx="630">
                  <c:v>104.59542464967208</c:v>
                </c:pt>
                <c:pt idx="631">
                  <c:v>104.59548188368336</c:v>
                </c:pt>
                <c:pt idx="632">
                  <c:v>104.59553911577132</c:v>
                </c:pt>
                <c:pt idx="633">
                  <c:v>104.59559634593596</c:v>
                </c:pt>
                <c:pt idx="634">
                  <c:v>104.59565357417732</c:v>
                </c:pt>
                <c:pt idx="635">
                  <c:v>104.59571080049543</c:v>
                </c:pt>
                <c:pt idx="636">
                  <c:v>104.59576802489032</c:v>
                </c:pt>
                <c:pt idx="637">
                  <c:v>104.59582524736201</c:v>
                </c:pt>
                <c:pt idx="638">
                  <c:v>104.59588246791056</c:v>
                </c:pt>
                <c:pt idx="639">
                  <c:v>104.59593968653594</c:v>
                </c:pt>
                <c:pt idx="640">
                  <c:v>104.59599690323823</c:v>
                </c:pt>
                <c:pt idx="641">
                  <c:v>104.59605411801745</c:v>
                </c:pt>
                <c:pt idx="642">
                  <c:v>104.59611133087361</c:v>
                </c:pt>
                <c:pt idx="643">
                  <c:v>104.59616854180676</c:v>
                </c:pt>
                <c:pt idx="644">
                  <c:v>104.59622575081691</c:v>
                </c:pt>
                <c:pt idx="645">
                  <c:v>104.59628295790412</c:v>
                </c:pt>
                <c:pt idx="646">
                  <c:v>104.59634016306839</c:v>
                </c:pt>
                <c:pt idx="647">
                  <c:v>104.59639736630974</c:v>
                </c:pt>
                <c:pt idx="648">
                  <c:v>104.59645456762823</c:v>
                </c:pt>
                <c:pt idx="649">
                  <c:v>104.59651176702387</c:v>
                </c:pt>
                <c:pt idx="650">
                  <c:v>104.59656896449668</c:v>
                </c:pt>
                <c:pt idx="651">
                  <c:v>104.59662616004671</c:v>
                </c:pt>
                <c:pt idx="652">
                  <c:v>104.59668335367398</c:v>
                </c:pt>
                <c:pt idx="653">
                  <c:v>104.59674054537851</c:v>
                </c:pt>
                <c:pt idx="654">
                  <c:v>104.59679773516035</c:v>
                </c:pt>
                <c:pt idx="655">
                  <c:v>104.59685492301951</c:v>
                </c:pt>
                <c:pt idx="656">
                  <c:v>104.59691210895602</c:v>
                </c:pt>
                <c:pt idx="657">
                  <c:v>104.59696929296992</c:v>
                </c:pt>
                <c:pt idx="658">
                  <c:v>104.59702647506123</c:v>
                </c:pt>
                <c:pt idx="659">
                  <c:v>104.59708365522998</c:v>
                </c:pt>
                <c:pt idx="660">
                  <c:v>104.5971408334762</c:v>
                </c:pt>
                <c:pt idx="661">
                  <c:v>104.59719800979992</c:v>
                </c:pt>
                <c:pt idx="662">
                  <c:v>104.59725518420117</c:v>
                </c:pt>
                <c:pt idx="663">
                  <c:v>104.59731235667998</c:v>
                </c:pt>
                <c:pt idx="664">
                  <c:v>104.59736952723637</c:v>
                </c:pt>
                <c:pt idx="665">
                  <c:v>104.59742669587037</c:v>
                </c:pt>
                <c:pt idx="666">
                  <c:v>104.59748386258201</c:v>
                </c:pt>
                <c:pt idx="667">
                  <c:v>104.59754102737132</c:v>
                </c:pt>
                <c:pt idx="668">
                  <c:v>104.59759819023834</c:v>
                </c:pt>
                <c:pt idx="669">
                  <c:v>104.59765535118308</c:v>
                </c:pt>
                <c:pt idx="670">
                  <c:v>104.59771251020558</c:v>
                </c:pt>
                <c:pt idx="671">
                  <c:v>104.59776966730587</c:v>
                </c:pt>
                <c:pt idx="672">
                  <c:v>104.59782682248395</c:v>
                </c:pt>
                <c:pt idx="673">
                  <c:v>104.5978839757399</c:v>
                </c:pt>
                <c:pt idx="674">
                  <c:v>104.59794112707372</c:v>
                </c:pt>
                <c:pt idx="675">
                  <c:v>104.59799827648543</c:v>
                </c:pt>
                <c:pt idx="676">
                  <c:v>104.59805542397507</c:v>
                </c:pt>
                <c:pt idx="677">
                  <c:v>104.59811256954266</c:v>
                </c:pt>
                <c:pt idx="678">
                  <c:v>104.59816971318826</c:v>
                </c:pt>
                <c:pt idx="679">
                  <c:v>104.59822685491187</c:v>
                </c:pt>
                <c:pt idx="680">
                  <c:v>104.59828399471351</c:v>
                </c:pt>
                <c:pt idx="681">
                  <c:v>104.59834113259323</c:v>
                </c:pt>
                <c:pt idx="682">
                  <c:v>104.59839826855107</c:v>
                </c:pt>
                <c:pt idx="683">
                  <c:v>104.59845540258701</c:v>
                </c:pt>
                <c:pt idx="684">
                  <c:v>104.59851253470113</c:v>
                </c:pt>
                <c:pt idx="685">
                  <c:v>104.59856966489343</c:v>
                </c:pt>
                <c:pt idx="686">
                  <c:v>104.59862679316396</c:v>
                </c:pt>
                <c:pt idx="687">
                  <c:v>104.59868391951272</c:v>
                </c:pt>
                <c:pt idx="688">
                  <c:v>104.59874104393977</c:v>
                </c:pt>
                <c:pt idx="689">
                  <c:v>104.59879816644512</c:v>
                </c:pt>
                <c:pt idx="690">
                  <c:v>104.5988552870288</c:v>
                </c:pt>
                <c:pt idx="691">
                  <c:v>104.59891240569083</c:v>
                </c:pt>
                <c:pt idx="692">
                  <c:v>104.59896952243126</c:v>
                </c:pt>
                <c:pt idx="693">
                  <c:v>104.59902663725009</c:v>
                </c:pt>
                <c:pt idx="694">
                  <c:v>104.59908375014739</c:v>
                </c:pt>
                <c:pt idx="695">
                  <c:v>104.59914086112316</c:v>
                </c:pt>
                <c:pt idx="696">
                  <c:v>104.59919797017744</c:v>
                </c:pt>
                <c:pt idx="697">
                  <c:v>104.59925507731023</c:v>
                </c:pt>
                <c:pt idx="698">
                  <c:v>104.5993121825216</c:v>
                </c:pt>
                <c:pt idx="699">
                  <c:v>104.59936928581156</c:v>
                </c:pt>
                <c:pt idx="700">
                  <c:v>104.59942638718013</c:v>
                </c:pt>
                <c:pt idx="701">
                  <c:v>104.59948348662735</c:v>
                </c:pt>
                <c:pt idx="702">
                  <c:v>104.59954058415326</c:v>
                </c:pt>
                <c:pt idx="703">
                  <c:v>104.59959767975786</c:v>
                </c:pt>
                <c:pt idx="704">
                  <c:v>104.5996547734412</c:v>
                </c:pt>
                <c:pt idx="705">
                  <c:v>104.5997118652033</c:v>
                </c:pt>
                <c:pt idx="706">
                  <c:v>104.5997689550442</c:v>
                </c:pt>
                <c:pt idx="707">
                  <c:v>104.59982604296391</c:v>
                </c:pt>
                <c:pt idx="708">
                  <c:v>104.59988312896247</c:v>
                </c:pt>
                <c:pt idx="709">
                  <c:v>104.59994021303991</c:v>
                </c:pt>
                <c:pt idx="710">
                  <c:v>104.59999729519626</c:v>
                </c:pt>
                <c:pt idx="711">
                  <c:v>104.60005437543155</c:v>
                </c:pt>
                <c:pt idx="712">
                  <c:v>104.60011145374581</c:v>
                </c:pt>
                <c:pt idx="713">
                  <c:v>104.60016853013904</c:v>
                </c:pt>
                <c:pt idx="714">
                  <c:v>104.6002256046113</c:v>
                </c:pt>
                <c:pt idx="715">
                  <c:v>104.60028267716262</c:v>
                </c:pt>
                <c:pt idx="716">
                  <c:v>104.60033974779302</c:v>
                </c:pt>
                <c:pt idx="717">
                  <c:v>104.60039681650252</c:v>
                </c:pt>
                <c:pt idx="718">
                  <c:v>104.60045388329115</c:v>
                </c:pt>
                <c:pt idx="719">
                  <c:v>104.60051094815897</c:v>
                </c:pt>
                <c:pt idx="720">
                  <c:v>104.60056801110596</c:v>
                </c:pt>
                <c:pt idx="721">
                  <c:v>104.60062507213219</c:v>
                </c:pt>
                <c:pt idx="722">
                  <c:v>104.60068213123765</c:v>
                </c:pt>
                <c:pt idx="723">
                  <c:v>104.60073918842241</c:v>
                </c:pt>
                <c:pt idx="724">
                  <c:v>104.60079624368647</c:v>
                </c:pt>
                <c:pt idx="725">
                  <c:v>104.60085329702987</c:v>
                </c:pt>
                <c:pt idx="726">
                  <c:v>104.60091034845264</c:v>
                </c:pt>
                <c:pt idx="727">
                  <c:v>104.6009673979548</c:v>
                </c:pt>
                <c:pt idx="728">
                  <c:v>104.60102444553638</c:v>
                </c:pt>
                <c:pt idx="729">
                  <c:v>104.60108149119742</c:v>
                </c:pt>
                <c:pt idx="730">
                  <c:v>104.60113853493796</c:v>
                </c:pt>
                <c:pt idx="731">
                  <c:v>104.60119557675797</c:v>
                </c:pt>
                <c:pt idx="732">
                  <c:v>104.60125261665755</c:v>
                </c:pt>
                <c:pt idx="733">
                  <c:v>104.60130965463669</c:v>
                </c:pt>
                <c:pt idx="734">
                  <c:v>104.60136669069543</c:v>
                </c:pt>
                <c:pt idx="735">
                  <c:v>104.60142372483379</c:v>
                </c:pt>
                <c:pt idx="736">
                  <c:v>104.6014807570518</c:v>
                </c:pt>
                <c:pt idx="737">
                  <c:v>104.60153778734951</c:v>
                </c:pt>
                <c:pt idx="738">
                  <c:v>104.60159481572691</c:v>
                </c:pt>
                <c:pt idx="739">
                  <c:v>104.60165184218407</c:v>
                </c:pt>
                <c:pt idx="740">
                  <c:v>104.60170886672098</c:v>
                </c:pt>
                <c:pt idx="741">
                  <c:v>104.6017658893377</c:v>
                </c:pt>
                <c:pt idx="742">
                  <c:v>104.60182291003426</c:v>
                </c:pt>
                <c:pt idx="743">
                  <c:v>104.60187992881065</c:v>
                </c:pt>
                <c:pt idx="744">
                  <c:v>104.60193694566694</c:v>
                </c:pt>
                <c:pt idx="745">
                  <c:v>104.60199396060314</c:v>
                </c:pt>
                <c:pt idx="746">
                  <c:v>104.60205097361928</c:v>
                </c:pt>
                <c:pt idx="747">
                  <c:v>104.60210798471537</c:v>
                </c:pt>
                <c:pt idx="748">
                  <c:v>104.60216499389149</c:v>
                </c:pt>
                <c:pt idx="749">
                  <c:v>104.60222200114761</c:v>
                </c:pt>
                <c:pt idx="750">
                  <c:v>104.6022790064838</c:v>
                </c:pt>
                <c:pt idx="751">
                  <c:v>104.60233600990009</c:v>
                </c:pt>
                <c:pt idx="752">
                  <c:v>104.60239301139646</c:v>
                </c:pt>
                <c:pt idx="753">
                  <c:v>104.60245001097299</c:v>
                </c:pt>
                <c:pt idx="754">
                  <c:v>104.6025070086297</c:v>
                </c:pt>
                <c:pt idx="755">
                  <c:v>104.60256400436658</c:v>
                </c:pt>
                <c:pt idx="756">
                  <c:v>104.60262099818372</c:v>
                </c:pt>
                <c:pt idx="757">
                  <c:v>104.60267799008111</c:v>
                </c:pt>
                <c:pt idx="758">
                  <c:v>104.60273498005877</c:v>
                </c:pt>
                <c:pt idx="759">
                  <c:v>104.60279196811676</c:v>
                </c:pt>
                <c:pt idx="760">
                  <c:v>104.60284895425509</c:v>
                </c:pt>
                <c:pt idx="761">
                  <c:v>104.6029059384738</c:v>
                </c:pt>
                <c:pt idx="762">
                  <c:v>104.60296292077291</c:v>
                </c:pt>
                <c:pt idx="763">
                  <c:v>104.60301990115242</c:v>
                </c:pt>
                <c:pt idx="764">
                  <c:v>104.60307687961242</c:v>
                </c:pt>
                <c:pt idx="765">
                  <c:v>104.60313385615289</c:v>
                </c:pt>
                <c:pt idx="766">
                  <c:v>104.60319083077388</c:v>
                </c:pt>
                <c:pt idx="767">
                  <c:v>104.60324780347543</c:v>
                </c:pt>
                <c:pt idx="768">
                  <c:v>104.60330477425754</c:v>
                </c:pt>
                <c:pt idx="769">
                  <c:v>104.60336174312026</c:v>
                </c:pt>
                <c:pt idx="770">
                  <c:v>104.60341871006359</c:v>
                </c:pt>
                <c:pt idx="771">
                  <c:v>104.60347567508759</c:v>
                </c:pt>
                <c:pt idx="772">
                  <c:v>104.60353263819229</c:v>
                </c:pt>
                <c:pt idx="773">
                  <c:v>104.6035895993777</c:v>
                </c:pt>
                <c:pt idx="774">
                  <c:v>104.60364655864385</c:v>
                </c:pt>
                <c:pt idx="775">
                  <c:v>104.60370351599079</c:v>
                </c:pt>
                <c:pt idx="776">
                  <c:v>104.60376047141851</c:v>
                </c:pt>
                <c:pt idx="777">
                  <c:v>104.60381742492709</c:v>
                </c:pt>
                <c:pt idx="778">
                  <c:v>104.60387437651652</c:v>
                </c:pt>
                <c:pt idx="779">
                  <c:v>104.60393132618682</c:v>
                </c:pt>
                <c:pt idx="780">
                  <c:v>104.60398827393806</c:v>
                </c:pt>
                <c:pt idx="781">
                  <c:v>104.60404521977023</c:v>
                </c:pt>
                <c:pt idx="782">
                  <c:v>104.60410216368338</c:v>
                </c:pt>
                <c:pt idx="783">
                  <c:v>104.60415910567752</c:v>
                </c:pt>
                <c:pt idx="784">
                  <c:v>104.60421604575271</c:v>
                </c:pt>
                <c:pt idx="785">
                  <c:v>104.60427298390896</c:v>
                </c:pt>
                <c:pt idx="786">
                  <c:v>104.60432992014631</c:v>
                </c:pt>
                <c:pt idx="787">
                  <c:v>104.60438685446475</c:v>
                </c:pt>
                <c:pt idx="788">
                  <c:v>104.60444378686437</c:v>
                </c:pt>
                <c:pt idx="789">
                  <c:v>104.60450071734515</c:v>
                </c:pt>
                <c:pt idx="790">
                  <c:v>104.60455764590712</c:v>
                </c:pt>
                <c:pt idx="791">
                  <c:v>104.60461457255035</c:v>
                </c:pt>
                <c:pt idx="792">
                  <c:v>104.60467149727482</c:v>
                </c:pt>
                <c:pt idx="793">
                  <c:v>104.60472842008059</c:v>
                </c:pt>
                <c:pt idx="794">
                  <c:v>104.60478534096768</c:v>
                </c:pt>
                <c:pt idx="795">
                  <c:v>104.60484225993613</c:v>
                </c:pt>
                <c:pt idx="796">
                  <c:v>104.60489917698595</c:v>
                </c:pt>
                <c:pt idx="797">
                  <c:v>104.60495609211718</c:v>
                </c:pt>
                <c:pt idx="798">
                  <c:v>104.60501300532982</c:v>
                </c:pt>
                <c:pt idx="799">
                  <c:v>104.60506991662395</c:v>
                </c:pt>
                <c:pt idx="800">
                  <c:v>104.60512682599958</c:v>
                </c:pt>
                <c:pt idx="801">
                  <c:v>104.60518373345671</c:v>
                </c:pt>
                <c:pt idx="802">
                  <c:v>104.6052406389954</c:v>
                </c:pt>
                <c:pt idx="803">
                  <c:v>104.60529754261566</c:v>
                </c:pt>
                <c:pt idx="804">
                  <c:v>104.60535444431753</c:v>
                </c:pt>
                <c:pt idx="805">
                  <c:v>104.60541134410103</c:v>
                </c:pt>
                <c:pt idx="806">
                  <c:v>104.60546824196621</c:v>
                </c:pt>
                <c:pt idx="807">
                  <c:v>104.60552513791308</c:v>
                </c:pt>
                <c:pt idx="808">
                  <c:v>104.60558203194165</c:v>
                </c:pt>
                <c:pt idx="809">
                  <c:v>104.605638924052</c:v>
                </c:pt>
                <c:pt idx="810">
                  <c:v>104.6056958142441</c:v>
                </c:pt>
                <c:pt idx="811">
                  <c:v>104.60575270251802</c:v>
                </c:pt>
                <c:pt idx="812">
                  <c:v>104.60580958887378</c:v>
                </c:pt>
                <c:pt idx="813">
                  <c:v>104.60586647331139</c:v>
                </c:pt>
                <c:pt idx="814">
                  <c:v>104.60592335583092</c:v>
                </c:pt>
                <c:pt idx="815">
                  <c:v>104.60598023643237</c:v>
                </c:pt>
                <c:pt idx="816">
                  <c:v>104.60603711511575</c:v>
                </c:pt>
                <c:pt idx="817">
                  <c:v>104.60609399188112</c:v>
                </c:pt>
                <c:pt idx="818">
                  <c:v>104.60615086672851</c:v>
                </c:pt>
                <c:pt idx="819">
                  <c:v>104.60620773965793</c:v>
                </c:pt>
                <c:pt idx="820">
                  <c:v>104.60626461066941</c:v>
                </c:pt>
                <c:pt idx="821">
                  <c:v>104.606321479763</c:v>
                </c:pt>
                <c:pt idx="822">
                  <c:v>104.6063783469387</c:v>
                </c:pt>
                <c:pt idx="823">
                  <c:v>104.60643521219657</c:v>
                </c:pt>
                <c:pt idx="824">
                  <c:v>104.60649207553662</c:v>
                </c:pt>
                <c:pt idx="825">
                  <c:v>104.60654893695887</c:v>
                </c:pt>
                <c:pt idx="826">
                  <c:v>104.60660579646336</c:v>
                </c:pt>
                <c:pt idx="827">
                  <c:v>104.60666265405011</c:v>
                </c:pt>
                <c:pt idx="828">
                  <c:v>104.60671950971916</c:v>
                </c:pt>
                <c:pt idx="829">
                  <c:v>104.60677636347053</c:v>
                </c:pt>
                <c:pt idx="830">
                  <c:v>104.60683321530426</c:v>
                </c:pt>
                <c:pt idx="831">
                  <c:v>104.60689006522037</c:v>
                </c:pt>
                <c:pt idx="832">
                  <c:v>104.60694691321891</c:v>
                </c:pt>
                <c:pt idx="833">
                  <c:v>104.60700375929987</c:v>
                </c:pt>
                <c:pt idx="834">
                  <c:v>104.6070606034633</c:v>
                </c:pt>
                <c:pt idx="835">
                  <c:v>104.60711744570922</c:v>
                </c:pt>
                <c:pt idx="836">
                  <c:v>104.60717428603768</c:v>
                </c:pt>
                <c:pt idx="837">
                  <c:v>104.60723112444867</c:v>
                </c:pt>
                <c:pt idx="838">
                  <c:v>104.60728796094226</c:v>
                </c:pt>
                <c:pt idx="839">
                  <c:v>104.60734479551846</c:v>
                </c:pt>
                <c:pt idx="840">
                  <c:v>104.60740162817729</c:v>
                </c:pt>
                <c:pt idx="841">
                  <c:v>104.60745845891879</c:v>
                </c:pt>
                <c:pt idx="842">
                  <c:v>104.607515287743</c:v>
                </c:pt>
                <c:pt idx="843">
                  <c:v>104.60757211464993</c:v>
                </c:pt>
                <c:pt idx="844">
                  <c:v>104.60762893963962</c:v>
                </c:pt>
                <c:pt idx="845">
                  <c:v>104.60768576271208</c:v>
                </c:pt>
                <c:pt idx="846">
                  <c:v>104.60774258386736</c:v>
                </c:pt>
                <c:pt idx="847">
                  <c:v>104.60779940310549</c:v>
                </c:pt>
                <c:pt idx="848">
                  <c:v>104.60785622042648</c:v>
                </c:pt>
                <c:pt idx="849">
                  <c:v>104.60791303583038</c:v>
                </c:pt>
                <c:pt idx="850">
                  <c:v>104.6079698493172</c:v>
                </c:pt>
                <c:pt idx="851">
                  <c:v>104.60802666088698</c:v>
                </c:pt>
                <c:pt idx="852">
                  <c:v>104.60808347053973</c:v>
                </c:pt>
                <c:pt idx="853">
                  <c:v>104.6081402782755</c:v>
                </c:pt>
                <c:pt idx="854">
                  <c:v>104.6081970840943</c:v>
                </c:pt>
                <c:pt idx="855">
                  <c:v>104.6082538879962</c:v>
                </c:pt>
                <c:pt idx="856">
                  <c:v>104.60831068998118</c:v>
                </c:pt>
                <c:pt idx="857">
                  <c:v>104.6083674900493</c:v>
                </c:pt>
                <c:pt idx="858">
                  <c:v>104.60842428820057</c:v>
                </c:pt>
                <c:pt idx="859">
                  <c:v>104.60848108443501</c:v>
                </c:pt>
                <c:pt idx="860">
                  <c:v>104.60853787875268</c:v>
                </c:pt>
                <c:pt idx="861">
                  <c:v>104.6085946711536</c:v>
                </c:pt>
                <c:pt idx="862">
                  <c:v>104.60865146163778</c:v>
                </c:pt>
                <c:pt idx="863">
                  <c:v>104.60870825020525</c:v>
                </c:pt>
                <c:pt idx="864">
                  <c:v>104.60876503685608</c:v>
                </c:pt>
                <c:pt idx="865">
                  <c:v>104.60882182159025</c:v>
                </c:pt>
                <c:pt idx="866">
                  <c:v>104.60887860440782</c:v>
                </c:pt>
                <c:pt idx="867">
                  <c:v>104.6089353853088</c:v>
                </c:pt>
                <c:pt idx="868">
                  <c:v>104.60899216429321</c:v>
                </c:pt>
                <c:pt idx="869">
                  <c:v>104.6090489413611</c:v>
                </c:pt>
                <c:pt idx="870">
                  <c:v>104.6091057165125</c:v>
                </c:pt>
                <c:pt idx="871">
                  <c:v>104.60916248974742</c:v>
                </c:pt>
                <c:pt idx="872">
                  <c:v>104.6092192610659</c:v>
                </c:pt>
                <c:pt idx="873">
                  <c:v>104.60927603046797</c:v>
                </c:pt>
                <c:pt idx="874">
                  <c:v>104.60933279795363</c:v>
                </c:pt>
                <c:pt idx="875">
                  <c:v>104.60938956352297</c:v>
                </c:pt>
                <c:pt idx="876">
                  <c:v>104.60944632717597</c:v>
                </c:pt>
                <c:pt idx="877">
                  <c:v>104.60950308891267</c:v>
                </c:pt>
                <c:pt idx="878">
                  <c:v>104.6095598487331</c:v>
                </c:pt>
                <c:pt idx="879">
                  <c:v>104.60961660663729</c:v>
                </c:pt>
                <c:pt idx="880">
                  <c:v>104.60967336262527</c:v>
                </c:pt>
                <c:pt idx="881">
                  <c:v>104.60973011669707</c:v>
                </c:pt>
                <c:pt idx="882">
                  <c:v>104.60978686885271</c:v>
                </c:pt>
                <c:pt idx="883">
                  <c:v>104.60984361909222</c:v>
                </c:pt>
                <c:pt idx="884">
                  <c:v>104.60990036741562</c:v>
                </c:pt>
                <c:pt idx="885">
                  <c:v>104.60995711382299</c:v>
                </c:pt>
                <c:pt idx="886">
                  <c:v>104.61001385831429</c:v>
                </c:pt>
                <c:pt idx="887">
                  <c:v>104.61007060088957</c:v>
                </c:pt>
                <c:pt idx="888">
                  <c:v>104.61012734154889</c:v>
                </c:pt>
                <c:pt idx="889">
                  <c:v>104.61018408029226</c:v>
                </c:pt>
                <c:pt idx="890">
                  <c:v>104.61024081711969</c:v>
                </c:pt>
                <c:pt idx="891">
                  <c:v>104.61029755203124</c:v>
                </c:pt>
                <c:pt idx="892">
                  <c:v>104.61035428502692</c:v>
                </c:pt>
                <c:pt idx="893">
                  <c:v>104.61041101610674</c:v>
                </c:pt>
                <c:pt idx="894">
                  <c:v>104.61046774527077</c:v>
                </c:pt>
                <c:pt idx="895">
                  <c:v>104.610524472519</c:v>
                </c:pt>
                <c:pt idx="896">
                  <c:v>104.61058119785149</c:v>
                </c:pt>
                <c:pt idx="897">
                  <c:v>104.61063792126825</c:v>
                </c:pt>
                <c:pt idx="898">
                  <c:v>104.61069464276932</c:v>
                </c:pt>
                <c:pt idx="899">
                  <c:v>104.61075136235472</c:v>
                </c:pt>
                <c:pt idx="900">
                  <c:v>104.61080808002448</c:v>
                </c:pt>
                <c:pt idx="901">
                  <c:v>104.61086479577864</c:v>
                </c:pt>
                <c:pt idx="902">
                  <c:v>104.6109215096172</c:v>
                </c:pt>
                <c:pt idx="903">
                  <c:v>104.61097822154021</c:v>
                </c:pt>
                <c:pt idx="904">
                  <c:v>104.61103493154771</c:v>
                </c:pt>
                <c:pt idx="905">
                  <c:v>104.61109163963971</c:v>
                </c:pt>
                <c:pt idx="906">
                  <c:v>104.61114834581623</c:v>
                </c:pt>
                <c:pt idx="907">
                  <c:v>104.61120505007734</c:v>
                </c:pt>
                <c:pt idx="908">
                  <c:v>104.61126175242303</c:v>
                </c:pt>
                <c:pt idx="909">
                  <c:v>104.61131845285334</c:v>
                </c:pt>
                <c:pt idx="910">
                  <c:v>104.61137515136829</c:v>
                </c:pt>
                <c:pt idx="911">
                  <c:v>104.61143184796792</c:v>
                </c:pt>
                <c:pt idx="912">
                  <c:v>104.61148854265225</c:v>
                </c:pt>
                <c:pt idx="913">
                  <c:v>104.61154523542133</c:v>
                </c:pt>
                <c:pt idx="914">
                  <c:v>104.61160192627516</c:v>
                </c:pt>
                <c:pt idx="915">
                  <c:v>104.61165861521378</c:v>
                </c:pt>
                <c:pt idx="916">
                  <c:v>104.61171530223722</c:v>
                </c:pt>
                <c:pt idx="917">
                  <c:v>104.61177198734551</c:v>
                </c:pt>
                <c:pt idx="918">
                  <c:v>104.61182867053867</c:v>
                </c:pt>
                <c:pt idx="919">
                  <c:v>104.61188535181675</c:v>
                </c:pt>
                <c:pt idx="920">
                  <c:v>104.61194203117977</c:v>
                </c:pt>
                <c:pt idx="921">
                  <c:v>104.61199870862774</c:v>
                </c:pt>
                <c:pt idx="922">
                  <c:v>104.61205538416073</c:v>
                </c:pt>
                <c:pt idx="923">
                  <c:v>104.6121120577787</c:v>
                </c:pt>
                <c:pt idx="924">
                  <c:v>104.61216872948174</c:v>
                </c:pt>
                <c:pt idx="925">
                  <c:v>104.61222539926985</c:v>
                </c:pt>
                <c:pt idx="926">
                  <c:v>104.61228206714308</c:v>
                </c:pt>
                <c:pt idx="927">
                  <c:v>104.61233873310144</c:v>
                </c:pt>
                <c:pt idx="928">
                  <c:v>104.61239539714495</c:v>
                </c:pt>
                <c:pt idx="929">
                  <c:v>104.61245205927369</c:v>
                </c:pt>
                <c:pt idx="930">
                  <c:v>104.61250871948762</c:v>
                </c:pt>
                <c:pt idx="931">
                  <c:v>104.61256537778682</c:v>
                </c:pt>
                <c:pt idx="932">
                  <c:v>104.61262203417128</c:v>
                </c:pt>
                <c:pt idx="933">
                  <c:v>104.61267868864105</c:v>
                </c:pt>
                <c:pt idx="934">
                  <c:v>104.61273534119616</c:v>
                </c:pt>
                <c:pt idx="935">
                  <c:v>104.61279199183664</c:v>
                </c:pt>
                <c:pt idx="936">
                  <c:v>104.61284864056252</c:v>
                </c:pt>
                <c:pt idx="937">
                  <c:v>104.61290528737382</c:v>
                </c:pt>
                <c:pt idx="938">
                  <c:v>104.61296193227057</c:v>
                </c:pt>
                <c:pt idx="939">
                  <c:v>104.6130185752528</c:v>
                </c:pt>
                <c:pt idx="940">
                  <c:v>104.61307521632052</c:v>
                </c:pt>
                <c:pt idx="941">
                  <c:v>104.6131318554738</c:v>
                </c:pt>
                <c:pt idx="942">
                  <c:v>104.61318849271264</c:v>
                </c:pt>
                <c:pt idx="943">
                  <c:v>104.61324512803706</c:v>
                </c:pt>
                <c:pt idx="944">
                  <c:v>104.61330176144713</c:v>
                </c:pt>
                <c:pt idx="945">
                  <c:v>104.61335839294284</c:v>
                </c:pt>
                <c:pt idx="946">
                  <c:v>104.61341502252424</c:v>
                </c:pt>
                <c:pt idx="947">
                  <c:v>104.61347165019131</c:v>
                </c:pt>
                <c:pt idx="948">
                  <c:v>104.61352827594416</c:v>
                </c:pt>
                <c:pt idx="949">
                  <c:v>104.61358489978277</c:v>
                </c:pt>
                <c:pt idx="950">
                  <c:v>104.61364152170715</c:v>
                </c:pt>
                <c:pt idx="951">
                  <c:v>104.61369814171736</c:v>
                </c:pt>
                <c:pt idx="952">
                  <c:v>104.61375475981345</c:v>
                </c:pt>
                <c:pt idx="953">
                  <c:v>104.6138113759954</c:v>
                </c:pt>
                <c:pt idx="954">
                  <c:v>104.61386799026327</c:v>
                </c:pt>
                <c:pt idx="955">
                  <c:v>104.61392460261708</c:v>
                </c:pt>
                <c:pt idx="956">
                  <c:v>104.61398121305683</c:v>
                </c:pt>
                <c:pt idx="957">
                  <c:v>104.61403782158261</c:v>
                </c:pt>
                <c:pt idx="958">
                  <c:v>104.61409442819439</c:v>
                </c:pt>
                <c:pt idx="959">
                  <c:v>104.61415103289225</c:v>
                </c:pt>
                <c:pt idx="960">
                  <c:v>104.61420763567615</c:v>
                </c:pt>
                <c:pt idx="961">
                  <c:v>104.61426423654621</c:v>
                </c:pt>
                <c:pt idx="962">
                  <c:v>104.61432083550238</c:v>
                </c:pt>
                <c:pt idx="963">
                  <c:v>104.61437743254471</c:v>
                </c:pt>
                <c:pt idx="964">
                  <c:v>104.61443402767325</c:v>
                </c:pt>
                <c:pt idx="965">
                  <c:v>104.61449062088801</c:v>
                </c:pt>
                <c:pt idx="966">
                  <c:v>104.61454721218901</c:v>
                </c:pt>
                <c:pt idx="967">
                  <c:v>104.61460380157631</c:v>
                </c:pt>
                <c:pt idx="968">
                  <c:v>104.61466038904992</c:v>
                </c:pt>
                <c:pt idx="969">
                  <c:v>104.61471697460988</c:v>
                </c:pt>
                <c:pt idx="970">
                  <c:v>104.61477355825619</c:v>
                </c:pt>
                <c:pt idx="971">
                  <c:v>104.6148301399889</c:v>
                </c:pt>
                <c:pt idx="972">
                  <c:v>104.61488671980806</c:v>
                </c:pt>
                <c:pt idx="973">
                  <c:v>104.61494329771364</c:v>
                </c:pt>
                <c:pt idx="974">
                  <c:v>104.61499987370571</c:v>
                </c:pt>
                <c:pt idx="975">
                  <c:v>104.61505644778428</c:v>
                </c:pt>
                <c:pt idx="976">
                  <c:v>104.61511301994943</c:v>
                </c:pt>
                <c:pt idx="977">
                  <c:v>104.61516959020113</c:v>
                </c:pt>
                <c:pt idx="978">
                  <c:v>104.61522615853943</c:v>
                </c:pt>
                <c:pt idx="979">
                  <c:v>104.61528272496435</c:v>
                </c:pt>
                <c:pt idx="980">
                  <c:v>104.61533928947593</c:v>
                </c:pt>
                <c:pt idx="981">
                  <c:v>104.61539585207417</c:v>
                </c:pt>
                <c:pt idx="982">
                  <c:v>104.61545241275915</c:v>
                </c:pt>
                <c:pt idx="983">
                  <c:v>104.61550897153087</c:v>
                </c:pt>
                <c:pt idx="984">
                  <c:v>104.61556552838934</c:v>
                </c:pt>
                <c:pt idx="985">
                  <c:v>104.61562208333463</c:v>
                </c:pt>
                <c:pt idx="986">
                  <c:v>104.61567863636674</c:v>
                </c:pt>
                <c:pt idx="987">
                  <c:v>104.6157351874857</c:v>
                </c:pt>
                <c:pt idx="988">
                  <c:v>104.61579173669155</c:v>
                </c:pt>
                <c:pt idx="989">
                  <c:v>104.61584828398431</c:v>
                </c:pt>
                <c:pt idx="990">
                  <c:v>104.615904829364</c:v>
                </c:pt>
                <c:pt idx="991">
                  <c:v>104.61596137283067</c:v>
                </c:pt>
                <c:pt idx="992">
                  <c:v>104.61601791438433</c:v>
                </c:pt>
                <c:pt idx="993">
                  <c:v>104.61607445402502</c:v>
                </c:pt>
                <c:pt idx="994">
                  <c:v>104.61613099175278</c:v>
                </c:pt>
                <c:pt idx="995">
                  <c:v>104.61618752756763</c:v>
                </c:pt>
                <c:pt idx="996">
                  <c:v>104.61624406146957</c:v>
                </c:pt>
                <c:pt idx="997">
                  <c:v>104.61630059345867</c:v>
                </c:pt>
                <c:pt idx="998">
                  <c:v>104.61635712353493</c:v>
                </c:pt>
                <c:pt idx="999">
                  <c:v>104.61641365169839</c:v>
                </c:pt>
                <c:pt idx="1000">
                  <c:v>104.61647017794908</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Calculs!$AG$4:$AG$1004</c:f>
              <c:numCache>
                <c:formatCode>0.00</c:formatCode>
                <c:ptCount val="1001"/>
                <c:pt idx="0">
                  <c:v>0</c:v>
                </c:pt>
                <c:pt idx="1">
                  <c:v>-7.2316132325996438</c:v>
                </c:pt>
                <c:pt idx="2">
                  <c:v>33.725058443321608</c:v>
                </c:pt>
                <c:pt idx="3">
                  <c:v>50.866093539390107</c:v>
                </c:pt>
                <c:pt idx="4">
                  <c:v>44.215969573499954</c:v>
                </c:pt>
                <c:pt idx="5">
                  <c:v>40.712836326690656</c:v>
                </c:pt>
                <c:pt idx="6">
                  <c:v>40.353721771222659</c:v>
                </c:pt>
                <c:pt idx="7">
                  <c:v>39.994915548236627</c:v>
                </c:pt>
                <c:pt idx="8">
                  <c:v>39.636425399087017</c:v>
                </c:pt>
                <c:pt idx="9">
                  <c:v>39.278258980530069</c:v>
                </c:pt>
                <c:pt idx="10">
                  <c:v>38.920423864670724</c:v>
                </c:pt>
                <c:pt idx="11">
                  <c:v>38.562927538921414</c:v>
                </c:pt>
                <c:pt idx="12">
                  <c:v>38.205777405972661</c:v>
                </c:pt>
                <c:pt idx="13">
                  <c:v>37.848980783775581</c:v>
                </c:pt>
                <c:pt idx="14">
                  <c:v>37.492544905535802</c:v>
                </c:pt>
                <c:pt idx="15">
                  <c:v>37.136476919718987</c:v>
                </c:pt>
                <c:pt idx="16">
                  <c:v>36.780783890067632</c:v>
                </c:pt>
                <c:pt idx="17">
                  <c:v>36.425472795629027</c:v>
                </c:pt>
                <c:pt idx="18">
                  <c:v>36.070550530794335</c:v>
                </c:pt>
                <c:pt idx="19">
                  <c:v>35.716023905348642</c:v>
                </c:pt>
                <c:pt idx="20">
                  <c:v>35.361899644531483</c:v>
                </c:pt>
                <c:pt idx="21">
                  <c:v>35.008184389108472</c:v>
                </c:pt>
                <c:pt idx="22">
                  <c:v>34.654884695453056</c:v>
                </c:pt>
                <c:pt idx="23">
                  <c:v>34.302007035638738</c:v>
                </c:pt>
                <c:pt idx="24">
                  <c:v>33.949557797541644</c:v>
                </c:pt>
                <c:pt idx="25">
                  <c:v>33.597543284952884</c:v>
                </c:pt>
                <c:pt idx="26">
                  <c:v>33.245969717701158</c:v>
                </c:pt>
                <c:pt idx="27">
                  <c:v>32.894843231784854</c:v>
                </c:pt>
                <c:pt idx="28">
                  <c:v>32.544169879514001</c:v>
                </c:pt>
                <c:pt idx="29">
                  <c:v>32.193955629661673</c:v>
                </c:pt>
                <c:pt idx="30">
                  <c:v>31.844206367624587</c:v>
                </c:pt>
                <c:pt idx="31">
                  <c:v>31.494927895593143</c:v>
                </c:pt>
                <c:pt idx="32">
                  <c:v>31.146125932730392</c:v>
                </c:pt>
                <c:pt idx="33">
                  <c:v>30.79780611535989</c:v>
                </c:pt>
                <c:pt idx="34">
                  <c:v>30.449973997162406</c:v>
                </c:pt>
                <c:pt idx="35">
                  <c:v>30.102635049381252</c:v>
                </c:pt>
                <c:pt idx="36">
                  <c:v>29.755794661036045</c:v>
                </c:pt>
                <c:pt idx="37">
                  <c:v>29.409458139144828</c:v>
                </c:pt>
                <c:pt idx="38">
                  <c:v>29.063630708954335</c:v>
                </c:pt>
                <c:pt idx="39">
                  <c:v>28.718317514178466</c:v>
                </c:pt>
                <c:pt idx="40">
                  <c:v>28.373523617244352</c:v>
                </c:pt>
                <c:pt idx="41">
                  <c:v>28.02925399954659</c:v>
                </c:pt>
                <c:pt idx="42">
                  <c:v>27.685513561708653</c:v>
                </c:pt>
                <c:pt idx="43">
                  <c:v>27.342307123852137</c:v>
                </c:pt>
                <c:pt idx="44">
                  <c:v>26.999639425873028</c:v>
                </c:pt>
                <c:pt idx="45">
                  <c:v>26.657515127725453</c:v>
                </c:pt>
                <c:pt idx="46">
                  <c:v>26.315938809712129</c:v>
                </c:pt>
                <c:pt idx="47">
                  <c:v>25.974914972781974</c:v>
                </c:pt>
                <c:pt idx="48">
                  <c:v>25.634448038834392</c:v>
                </c:pt>
                <c:pt idx="49">
                  <c:v>25.294542351030078</c:v>
                </c:pt>
                <c:pt idx="50">
                  <c:v>24.955202174108383</c:v>
                </c:pt>
                <c:pt idx="51">
                  <c:v>24.61643169471099</c:v>
                </c:pt>
                <c:pt idx="52">
                  <c:v>24.278235021711744</c:v>
                </c:pt>
                <c:pt idx="53">
                  <c:v>23.94061618655256</c:v>
                </c:pt>
                <c:pt idx="54">
                  <c:v>23.603579143585229</c:v>
                </c:pt>
                <c:pt idx="55">
                  <c:v>23.267127770418973</c:v>
                </c:pt>
                <c:pt idx="56">
                  <c:v>22.931265868273634</c:v>
                </c:pt>
                <c:pt idx="57">
                  <c:v>22.595997162338403</c:v>
                </c:pt>
                <c:pt idx="58">
                  <c:v>22.26132530213583</c:v>
                </c:pt>
                <c:pt idx="59">
                  <c:v>21.927253861891142</c:v>
                </c:pt>
                <c:pt idx="60">
                  <c:v>21.593786340906526</c:v>
                </c:pt>
                <c:pt idx="61">
                  <c:v>21.260926163940557</c:v>
                </c:pt>
                <c:pt idx="62">
                  <c:v>20.928676681592187</c:v>
                </c:pt>
                <c:pt idx="63">
                  <c:v>20.323401589599328</c:v>
                </c:pt>
                <c:pt idx="64">
                  <c:v>19.445574634313243</c:v>
                </c:pt>
                <c:pt idx="65">
                  <c:v>18.569469898857669</c:v>
                </c:pt>
                <c:pt idx="66">
                  <c:v>17.695102513143532</c:v>
                </c:pt>
                <c:pt idx="67">
                  <c:v>16.57162492510993</c:v>
                </c:pt>
                <c:pt idx="68">
                  <c:v>15.199509887676591</c:v>
                </c:pt>
                <c:pt idx="69">
                  <c:v>13.384038519744644</c:v>
                </c:pt>
                <c:pt idx="70">
                  <c:v>11.126100023269231</c:v>
                </c:pt>
                <c:pt idx="71">
                  <c:v>8.8730195404488601</c:v>
                </c:pt>
                <c:pt idx="72">
                  <c:v>6.6248754683471613</c:v>
                </c:pt>
                <c:pt idx="73">
                  <c:v>4.3817432840495769</c:v>
                </c:pt>
                <c:pt idx="74">
                  <c:v>2.1436955611027884</c:v>
                </c:pt>
                <c:pt idx="75">
                  <c:v>-8.9198013204574877E-2</c:v>
                </c:pt>
                <c:pt idx="76">
                  <c:v>-2.3168706197515778</c:v>
                </c:pt>
                <c:pt idx="77">
                  <c:v>-4.5392582887159678</c:v>
                </c:pt>
                <c:pt idx="78">
                  <c:v>-6.7562998799581155</c:v>
                </c:pt>
                <c:pt idx="79">
                  <c:v>-8.9679370626885788</c:v>
                </c:pt>
                <c:pt idx="80">
                  <c:v>-11.174114294450384</c:v>
                </c:pt>
                <c:pt idx="81">
                  <c:v>-12.843919835994964</c:v>
                </c:pt>
                <c:pt idx="82">
                  <c:v>-13.978621614886563</c:v>
                </c:pt>
                <c:pt idx="83">
                  <c:v>-15.110476177124514</c:v>
                </c:pt>
                <c:pt idx="84">
                  <c:v>-16.239478486223241</c:v>
                </c:pt>
                <c:pt idx="85">
                  <c:v>-17.365624185046983</c:v>
                </c:pt>
                <c:pt idx="86">
                  <c:v>-18.488909588625209</c:v>
                </c:pt>
                <c:pt idx="87">
                  <c:v>-19.609331676945867</c:v>
                </c:pt>
                <c:pt idx="88">
                  <c:v>-20.726888087729964</c:v>
                </c:pt>
                <c:pt idx="89">
                  <c:v>-21.673838558924928</c:v>
                </c:pt>
                <c:pt idx="90">
                  <c:v>-22.450621764048492</c:v>
                </c:pt>
                <c:pt idx="91">
                  <c:v>-23.225435509676807</c:v>
                </c:pt>
                <c:pt idx="92">
                  <c:v>-23.998283748544534</c:v>
                </c:pt>
                <c:pt idx="93">
                  <c:v>-24.727228804124703</c:v>
                </c:pt>
                <c:pt idx="94">
                  <c:v>-25.412386971799894</c:v>
                </c:pt>
                <c:pt idx="95">
                  <c:v>-26.095819957986567</c:v>
                </c:pt>
                <c:pt idx="96">
                  <c:v>-26.777533090719455</c:v>
                </c:pt>
                <c:pt idx="97">
                  <c:v>-27.289745884840631</c:v>
                </c:pt>
                <c:pt idx="98">
                  <c:v>-27.632917026364012</c:v>
                </c:pt>
                <c:pt idx="99">
                  <c:v>-27.975297909346637</c:v>
                </c:pt>
                <c:pt idx="100">
                  <c:v>-28.316893126534282</c:v>
                </c:pt>
                <c:pt idx="101">
                  <c:v>-28.657707303686863</c:v>
                </c:pt>
                <c:pt idx="102">
                  <c:v>-28.997745099044696</c:v>
                </c:pt>
                <c:pt idx="103">
                  <c:v>-29.337011202801619</c:v>
                </c:pt>
                <c:pt idx="104">
                  <c:v>-29.675510336584903</c:v>
                </c:pt>
                <c:pt idx="105">
                  <c:v>-30.013247252941927</c:v>
                </c:pt>
                <c:pt idx="106">
                  <c:v>-30.350226734833651</c:v>
                </c:pt>
                <c:pt idx="107">
                  <c:v>-30.68645359513485</c:v>
                </c:pt>
                <c:pt idx="108">
                  <c:v>-31.021932676141123</c:v>
                </c:pt>
                <c:pt idx="109">
                  <c:v>-31.146912416516997</c:v>
                </c:pt>
                <c:pt idx="110">
                  <c:v>-31.061968865492162</c:v>
                </c:pt>
                <c:pt idx="111">
                  <c:v>-30.977429285368743</c:v>
                </c:pt>
                <c:pt idx="112">
                  <c:v>-30.89329110891126</c:v>
                </c:pt>
                <c:pt idx="113">
                  <c:v>-30.809551789296606</c:v>
                </c:pt>
                <c:pt idx="114">
                  <c:v>-30.726208799918343</c:v>
                </c:pt>
                <c:pt idx="115">
                  <c:v>-30.643259634193349</c:v>
                </c:pt>
                <c:pt idx="116">
                  <c:v>-30.560701805370392</c:v>
                </c:pt>
                <c:pt idx="117">
                  <c:v>-30.478532846341061</c:v>
                </c:pt>
                <c:pt idx="118">
                  <c:v>-30.396750309452614</c:v>
                </c:pt>
                <c:pt idx="119">
                  <c:v>-30.315351766323062</c:v>
                </c:pt>
                <c:pt idx="120">
                  <c:v>-30.234334807658165</c:v>
                </c:pt>
                <c:pt idx="121">
                  <c:v>-30.153697043070522</c:v>
                </c:pt>
                <c:pt idx="122">
                  <c:v>-30.073436100900711</c:v>
                </c:pt>
                <c:pt idx="123">
                  <c:v>-29.993549628040221</c:v>
                </c:pt>
                <c:pt idx="124">
                  <c:v>-29.91403528975659</c:v>
                </c:pt>
                <c:pt idx="125">
                  <c:v>-29.834890769520214</c:v>
                </c:pt>
                <c:pt idx="126">
                  <c:v>-29.756113768833224</c:v>
                </c:pt>
                <c:pt idx="127">
                  <c:v>-29.677702007060205</c:v>
                </c:pt>
                <c:pt idx="128">
                  <c:v>-29.599653221260667</c:v>
                </c:pt>
                <c:pt idx="129">
                  <c:v>-29.521965166023506</c:v>
                </c:pt>
                <c:pt idx="130">
                  <c:v>-29.444635613303127</c:v>
                </c:pt>
                <c:pt idx="131">
                  <c:v>-29.367662352257458</c:v>
                </c:pt>
                <c:pt idx="132">
                  <c:v>-29.291043189087645</c:v>
                </c:pt>
                <c:pt idx="133">
                  <c:v>-29.214775946879541</c:v>
                </c:pt>
                <c:pt idx="134">
                  <c:v>-29.138858465446869</c:v>
                </c:pt>
                <c:pt idx="135">
                  <c:v>-29.063288601176115</c:v>
                </c:pt>
                <c:pt idx="136">
                  <c:v>-28.988064226873121</c:v>
                </c:pt>
                <c:pt idx="137">
                  <c:v>-28.9131832316112</c:v>
                </c:pt>
                <c:pt idx="138">
                  <c:v>-28.838643520581108</c:v>
                </c:pt>
                <c:pt idx="139">
                  <c:v>-28.764443014942383</c:v>
                </c:pt>
                <c:pt idx="140">
                  <c:v>-28.69057965167648</c:v>
                </c:pt>
                <c:pt idx="141">
                  <c:v>-28.617051383441385</c:v>
                </c:pt>
                <c:pt idx="142">
                  <c:v>-28.54385617842776</c:v>
                </c:pt>
                <c:pt idx="143">
                  <c:v>-28.470992020216695</c:v>
                </c:pt>
                <c:pt idx="144">
                  <c:v>-28.398456907638952</c:v>
                </c:pt>
                <c:pt idx="145">
                  <c:v>-28.326248854635665</c:v>
                </c:pt>
                <c:pt idx="146">
                  <c:v>-28.254365890120589</c:v>
                </c:pt>
                <c:pt idx="147">
                  <c:v>-28.182806057843788</c:v>
                </c:pt>
                <c:pt idx="148">
                  <c:v>-28.111567416256712</c:v>
                </c:pt>
                <c:pt idx="149">
                  <c:v>-28.040648038378784</c:v>
                </c:pt>
                <c:pt idx="150">
                  <c:v>-27.970046011665353</c:v>
                </c:pt>
                <c:pt idx="151">
                  <c:v>-27.899759437877044</c:v>
                </c:pt>
                <c:pt idx="152">
                  <c:v>-27.829786432950524</c:v>
                </c:pt>
                <c:pt idx="153">
                  <c:v>-27.760125126870491</c:v>
                </c:pt>
                <c:pt idx="154">
                  <c:v>-27.69077366354324</c:v>
                </c:pt>
                <c:pt idx="155">
                  <c:v>-27.621730200671323</c:v>
                </c:pt>
                <c:pt idx="156">
                  <c:v>-27.552992909629662</c:v>
                </c:pt>
                <c:pt idx="157">
                  <c:v>-27.484559975342904</c:v>
                </c:pt>
                <c:pt idx="158">
                  <c:v>-27.416429596164072</c:v>
                </c:pt>
                <c:pt idx="159">
                  <c:v>-27.348599983754461</c:v>
                </c:pt>
                <c:pt idx="160">
                  <c:v>-27.281069362964814</c:v>
                </c:pt>
                <c:pt idx="161">
                  <c:v>-27.213835971717725</c:v>
                </c:pt>
                <c:pt idx="162">
                  <c:v>-27.146898060891207</c:v>
                </c:pt>
                <c:pt idx="163">
                  <c:v>-27.08025389420358</c:v>
                </c:pt>
                <c:pt idx="164">
                  <c:v>-27.013901748099393</c:v>
                </c:pt>
                <c:pt idx="165">
                  <c:v>-26.947839911636713</c:v>
                </c:pt>
                <c:pt idx="166">
                  <c:v>-26.882066686375396</c:v>
                </c:pt>
                <c:pt idx="167">
                  <c:v>-26.81658038626659</c:v>
                </c:pt>
                <c:pt idx="168">
                  <c:v>-26.75137933754344</c:v>
                </c:pt>
                <c:pt idx="169">
                  <c:v>-26.686461878612761</c:v>
                </c:pt>
                <c:pt idx="170">
                  <c:v>-26.621826359947967</c:v>
                </c:pt>
                <c:pt idx="171">
                  <c:v>-26.557471143982973</c:v>
                </c:pt>
                <c:pt idx="172">
                  <c:v>-26.493394605007289</c:v>
                </c:pt>
                <c:pt idx="173">
                  <c:v>-26.429595129062143</c:v>
                </c:pt>
                <c:pt idx="174">
                  <c:v>-26.366071113837599</c:v>
                </c:pt>
                <c:pt idx="175">
                  <c:v>-26.30282096857081</c:v>
                </c:pt>
                <c:pt idx="176">
                  <c:v>-26.239843113945312</c:v>
                </c:pt>
                <c:pt idx="177">
                  <c:v>-26.177135981991206</c:v>
                </c:pt>
                <c:pt idx="178">
                  <c:v>-26.114698015986534</c:v>
                </c:pt>
                <c:pt idx="179">
                  <c:v>-26.052527670359481</c:v>
                </c:pt>
                <c:pt idx="180">
                  <c:v>-25.99062341059172</c:v>
                </c:pt>
                <c:pt idx="181">
                  <c:v>-25.928983713122598</c:v>
                </c:pt>
                <c:pt idx="182">
                  <c:v>-25.867607065254354</c:v>
                </c:pt>
                <c:pt idx="183">
                  <c:v>-25.806491965058296</c:v>
                </c:pt>
                <c:pt idx="184">
                  <c:v>-25.745636921281903</c:v>
                </c:pt>
                <c:pt idx="185">
                  <c:v>-25.685040453256811</c:v>
                </c:pt>
                <c:pt idx="186">
                  <c:v>-25.624701090807825</c:v>
                </c:pt>
                <c:pt idx="187">
                  <c:v>-25.564617374162744</c:v>
                </c:pt>
                <c:pt idx="188">
                  <c:v>-25.504787853863121</c:v>
                </c:pt>
                <c:pt idx="189">
                  <c:v>-25.44521109067594</c:v>
                </c:pt>
                <c:pt idx="190">
                  <c:v>-25.38588565550608</c:v>
                </c:pt>
                <c:pt idx="191">
                  <c:v>-25.326810129309777</c:v>
                </c:pt>
                <c:pt idx="192">
                  <c:v>-25.267983103008852</c:v>
                </c:pt>
                <c:pt idx="193">
                  <c:v>-25.209403177405829</c:v>
                </c:pt>
                <c:pt idx="194">
                  <c:v>-25.151068963099799</c:v>
                </c:pt>
                <c:pt idx="195">
                  <c:v>-25.092979080403321</c:v>
                </c:pt>
                <c:pt idx="196">
                  <c:v>-25.035132159259899</c:v>
                </c:pt>
                <c:pt idx="197">
                  <c:v>-24.977526839162458</c:v>
                </c:pt>
                <c:pt idx="198">
                  <c:v>-24.920161769072529</c:v>
                </c:pt>
                <c:pt idx="199">
                  <c:v>-24.863035607340194</c:v>
                </c:pt>
                <c:pt idx="200">
                  <c:v>-24.806147021624952</c:v>
                </c:pt>
                <c:pt idx="201">
                  <c:v>-24.749494688817215</c:v>
                </c:pt>
                <c:pt idx="202">
                  <c:v>-24.19034662081075</c:v>
                </c:pt>
                <c:pt idx="203">
                  <c:v>-23.653958888662345</c:v>
                </c:pt>
                <c:pt idx="204">
                  <c:v>-23.13910146322776</c:v>
                </c:pt>
                <c:pt idx="205">
                  <c:v>-22.644625864201661</c:v>
                </c:pt>
                <c:pt idx="206">
                  <c:v>-22.169458640970518</c:v>
                </c:pt>
                <c:pt idx="207">
                  <c:v>-21.712595449391145</c:v>
                </c:pt>
                <c:pt idx="208">
                  <c:v>-21.273095662391157</c:v>
                </c:pt>
                <c:pt idx="209">
                  <c:v>-20.850077459451256</c:v>
                </c:pt>
                <c:pt idx="210">
                  <c:v>-20.442713346282211</c:v>
                </c:pt>
                <c:pt idx="211">
                  <c:v>-20.050226061475321</c:v>
                </c:pt>
                <c:pt idx="212">
                  <c:v>-19.671884831692878</c:v>
                </c:pt>
                <c:pt idx="213">
                  <c:v>-19.307001941165296</c:v>
                </c:pt>
                <c:pt idx="214">
                  <c:v>-18.954929584951707</c:v>
                </c:pt>
                <c:pt idx="215">
                  <c:v>-18.615056978669273</c:v>
                </c:pt>
                <c:pt idx="216">
                  <c:v>-18.286807700258827</c:v>
                </c:pt>
                <c:pt idx="217">
                  <c:v>-17.969637241880907</c:v>
                </c:pt>
                <c:pt idx="218">
                  <c:v>-17.663030752269421</c:v>
                </c:pt>
                <c:pt idx="219">
                  <c:v>-17.366500951845588</c:v>
                </c:pt>
                <c:pt idx="220">
                  <c:v>-17.079586204645366</c:v>
                </c:pt>
                <c:pt idx="221">
                  <c:v>-16.801848732665384</c:v>
                </c:pt>
                <c:pt idx="222">
                  <c:v>-16.532872959610081</c:v>
                </c:pt>
                <c:pt idx="223">
                  <c:v>-16.27226397224635</c:v>
                </c:pt>
                <c:pt idx="224">
                  <c:v>-16.0196460886594</c:v>
                </c:pt>
                <c:pt idx="225">
                  <c:v>-15.774661523670691</c:v>
                </c:pt>
                <c:pt idx="226">
                  <c:v>-15.536969142538496</c:v>
                </c:pt>
                <c:pt idx="227">
                  <c:v>-15.306243294826572</c:v>
                </c:pt>
                <c:pt idx="228">
                  <c:v>-15.082172721006049</c:v>
                </c:pt>
                <c:pt idx="229">
                  <c:v>-14.864459524959566</c:v>
                </c:pt>
                <c:pt idx="230">
                  <c:v>-14.652818206092427</c:v>
                </c:pt>
                <c:pt idx="231">
                  <c:v>-14.446974745230108</c:v>
                </c:pt>
                <c:pt idx="232">
                  <c:v>-14.246665738900802</c:v>
                </c:pt>
                <c:pt idx="233">
                  <c:v>-14.051637576971149</c:v>
                </c:pt>
                <c:pt idx="234">
                  <c:v>-13.861645658927495</c:v>
                </c:pt>
                <c:pt idx="235">
                  <c:v>-13.676453644377931</c:v>
                </c:pt>
                <c:pt idx="236">
                  <c:v>-13.495832733595735</c:v>
                </c:pt>
                <c:pt idx="237">
                  <c:v>-13.319560974135698</c:v>
                </c:pt>
                <c:pt idx="238">
                  <c:v>-13.147422589734092</c:v>
                </c:pt>
                <c:pt idx="239">
                  <c:v>-12.979207327853418</c:v>
                </c:pt>
                <c:pt idx="240">
                  <c:v>-12.814709822356535</c:v>
                </c:pt>
                <c:pt idx="241">
                  <c:v>-12.653728967894221</c:v>
                </c:pt>
                <c:pt idx="242">
                  <c:v>-12.496067302667015</c:v>
                </c:pt>
                <c:pt idx="243">
                  <c:v>-12.341530396279271</c:v>
                </c:pt>
                <c:pt idx="244">
                  <c:v>-12.189926239442487</c:v>
                </c:pt>
                <c:pt idx="245">
                  <c:v>-12.041064632308935</c:v>
                </c:pt>
                <c:pt idx="246">
                  <c:v>-11.894756568228084</c:v>
                </c:pt>
                <c:pt idx="247">
                  <c:v>-11.750813609720772</c:v>
                </c:pt>
                <c:pt idx="248">
                  <c:v>-11.609047253463261</c:v>
                </c:pt>
                <c:pt idx="249">
                  <c:v>-11.469268281070242</c:v>
                </c:pt>
                <c:pt idx="250">
                  <c:v>-11.331286092468423</c:v>
                </c:pt>
                <c:pt idx="251">
                  <c:v>-11.194908018667697</c:v>
                </c:pt>
                <c:pt idx="252">
                  <c:v>-11.059938610774612</c:v>
                </c:pt>
                <c:pt idx="253">
                  <c:v>-10.92617890216389</c:v>
                </c:pt>
                <c:pt idx="254">
                  <c:v>-10.793425640842518</c:v>
                </c:pt>
                <c:pt idx="255">
                  <c:v>-10.66147048922506</c:v>
                </c:pt>
                <c:pt idx="256">
                  <c:v>-10.530099188809841</c:v>
                </c:pt>
                <c:pt idx="257">
                  <c:v>-10.399090687630579</c:v>
                </c:pt>
                <c:pt idx="258">
                  <c:v>-10.268216228889766</c:v>
                </c:pt>
                <c:pt idx="259">
                  <c:v>-10.137238399898745</c:v>
                </c:pt>
                <c:pt idx="260">
                  <c:v>-10.005910141403815</c:v>
                </c:pt>
                <c:pt idx="261">
                  <c:v>-9.8739737186269618</c:v>
                </c:pt>
                <c:pt idx="262">
                  <c:v>-9.7411596569639354</c:v>
                </c:pt>
                <c:pt idx="263">
                  <c:v>-9.6071856473457817</c:v>
                </c:pt>
                <c:pt idx="264">
                  <c:v>-9.4717554288801438</c:v>
                </c:pt>
                <c:pt idx="265">
                  <c:v>-9.3345576596604793</c:v>
                </c:pt>
                <c:pt idx="266">
                  <c:v>-9.1952647906944502</c:v>
                </c:pt>
                <c:pt idx="267">
                  <c:v>-9.053531962903806</c:v>
                </c:pt>
                <c:pt idx="268">
                  <c:v>-8.9089959532461762</c:v>
                </c:pt>
                <c:pt idx="269">
                  <c:v>-8.7612742033730253</c:v>
                </c:pt>
                <c:pt idx="270">
                  <c:v>-8.6099639730362689</c:v>
                </c:pt>
                <c:pt idx="271">
                  <c:v>-8.4546416708446852</c:v>
                </c:pt>
                <c:pt idx="272">
                  <c:v>-8.2948624270728075</c:v>
                </c:pt>
                <c:pt idx="273">
                  <c:v>-8.1301599870995709</c:v>
                </c:pt>
                <c:pt idx="274">
                  <c:v>-7.960047019658159</c:v>
                </c:pt>
                <c:pt idx="275">
                  <c:v>-7.7840159512107912</c:v>
                </c:pt>
                <c:pt idx="276">
                  <c:v>-7.6015404559921755</c:v>
                </c:pt>
                <c:pt idx="277">
                  <c:v>-7.4120777498459995</c:v>
                </c:pt>
                <c:pt idx="278">
                  <c:v>-7.2150718537426943</c:v>
                </c:pt>
                <c:pt idx="279">
                  <c:v>-7.0099580081117354</c:v>
                </c:pt>
                <c:pt idx="280">
                  <c:v>-6.7961684294959728</c:v>
                </c:pt>
                <c:pt idx="281">
                  <c:v>-6.5731396034431597</c:v>
                </c:pt>
                <c:pt idx="282">
                  <c:v>-6.3403212981050672</c:v>
                </c:pt>
                <c:pt idx="283">
                  <c:v>-6.0971874570912448</c:v>
                </c:pt>
                <c:pt idx="284">
                  <c:v>-5.8432490825559347</c:v>
                </c:pt>
                <c:pt idx="285">
                  <c:v>-5.5780691449945223</c:v>
                </c:pt>
                <c:pt idx="286">
                  <c:v>-5.3012794500832978</c:v>
                </c:pt>
                <c:pt idx="287">
                  <c:v>-5.0125992520227696</c:v>
                </c:pt>
                <c:pt idx="288">
                  <c:v>-4.7118552271310614</c:v>
                </c:pt>
                <c:pt idx="289">
                  <c:v>-4.3990022153540345</c:v>
                </c:pt>
                <c:pt idx="290">
                  <c:v>-4.0741439115933051</c:v>
                </c:pt>
                <c:pt idx="291">
                  <c:v>-3.7375524614542224</c:v>
                </c:pt>
                <c:pt idx="292">
                  <c:v>-3.3896857131912643</c:v>
                </c:pt>
                <c:pt idx="293">
                  <c:v>-3.0312007320435415</c:v>
                </c:pt>
                <c:pt idx="294">
                  <c:v>-2.6629621312228187</c:v>
                </c:pt>
                <c:pt idx="295">
                  <c:v>-2.2860438502692246</c:v>
                </c:pt>
                <c:pt idx="296">
                  <c:v>-1.9017232421586421</c:v>
                </c:pt>
                <c:pt idx="297">
                  <c:v>-1.5114667243923818</c:v>
                </c:pt>
                <c:pt idx="298">
                  <c:v>-1.1169067915331419</c:v>
                </c:pt>
                <c:pt idx="299">
                  <c:v>-0.71981083521019473</c:v>
                </c:pt>
                <c:pt idx="300">
                  <c:v>-0.32204290504911703</c:v>
                </c:pt>
                <c:pt idx="301">
                  <c:v>7.4479814320251025E-2</c:v>
                </c:pt>
                <c:pt idx="302">
                  <c:v>0.46783352702488418</c:v>
                </c:pt>
                <c:pt idx="303">
                  <c:v>0.85613476771126629</c:v>
                </c:pt>
                <c:pt idx="304">
                  <c:v>1.2375851333099803</c:v>
                </c:pt>
                <c:pt idx="305">
                  <c:v>1.61051139328932</c:v>
                </c:pt>
                <c:pt idx="306">
                  <c:v>1.9733990121030023</c:v>
                </c:pt>
                <c:pt idx="307">
                  <c:v>2.3249177253204754</c:v>
                </c:pt>
                <c:pt idx="308">
                  <c:v>2.6639384958208017</c:v>
                </c:pt>
                <c:pt idx="309">
                  <c:v>2.98954185043833</c:v>
                </c:pt>
                <c:pt idx="310">
                  <c:v>3.3010181853536888</c:v>
                </c:pt>
                <c:pt idx="311">
                  <c:v>3.5978610784148493</c:v>
                </c:pt>
                <c:pt idx="312">
                  <c:v>3.8797549340394784</c:v>
                </c:pt>
                <c:pt idx="313">
                  <c:v>4.1465584127165096</c:v>
                </c:pt>
                <c:pt idx="314">
                  <c:v>4.3982850834665719</c:v>
                </c:pt>
                <c:pt idx="315">
                  <c:v>4.6350826168532455</c:v>
                </c:pt>
                <c:pt idx="316">
                  <c:v>4.8572116452725513</c:v>
                </c:pt>
                <c:pt idx="317">
                  <c:v>5.0650251912362405</c:v>
                </c:pt>
                <c:pt idx="318">
                  <c:v>5.2589493321412553</c:v>
                </c:pt>
                <c:pt idx="319">
                  <c:v>5.4394655527214599</c:v>
                </c:pt>
                <c:pt idx="320">
                  <c:v>5.6070950472827876</c:v>
                </c:pt>
                <c:pt idx="321">
                  <c:v>5.7623850793844138</c:v>
                </c:pt>
                <c:pt idx="322">
                  <c:v>5.9058973880615584</c:v>
                </c:pt>
                <c:pt idx="323">
                  <c:v>6.0381985446404913</c:v>
                </c:pt>
                <c:pt idx="324">
                  <c:v>6.1598521082504663</c:v>
                </c:pt>
                <c:pt idx="325">
                  <c:v>6.2714123959697341</c:v>
                </c:pt>
                <c:pt idx="326">
                  <c:v>6.373419669762292</c:v>
                </c:pt>
                <c:pt idx="327">
                  <c:v>6.4663965420246523</c:v>
                </c:pt>
                <c:pt idx="328">
                  <c:v>6.5508454104404032</c:v>
                </c:pt>
                <c:pt idx="329">
                  <c:v>6.6272467475164136</c:v>
                </c:pt>
                <c:pt idx="330">
                  <c:v>6.6960580880177369</c:v>
                </c:pt>
                <c:pt idx="331">
                  <c:v>6.7577135765988903</c:v>
                </c:pt>
                <c:pt idx="332">
                  <c:v>6.812623956904801</c:v>
                </c:pt>
                <c:pt idx="333">
                  <c:v>6.8611769014089887</c:v>
                </c:pt>
                <c:pt idx="334">
                  <c:v>6.9037375977493145</c:v>
                </c:pt>
                <c:pt idx="335">
                  <c:v>6.9406495220522215</c:v>
                </c:pt>
                <c:pt idx="336">
                  <c:v>6.9722353426254546</c:v>
                </c:pt>
                <c:pt idx="337">
                  <c:v>6.9987979084885241</c:v>
                </c:pt>
                <c:pt idx="338">
                  <c:v>7.0206212866147624</c:v>
                </c:pt>
                <c:pt idx="339">
                  <c:v>7.0379718196358514</c:v>
                </c:pt>
                <c:pt idx="340">
                  <c:v>7.0510991822833171</c:v>
                </c:pt>
                <c:pt idx="341">
                  <c:v>7.0602374201881899</c:v>
                </c:pt>
                <c:pt idx="342">
                  <c:v>7.0656059589988347</c:v>
                </c:pt>
                <c:pt idx="343">
                  <c:v>7.0674105752631053</c:v>
                </c:pt>
                <c:pt idx="344">
                  <c:v>7.0658443232940193</c:v>
                </c:pt>
                <c:pt idx="345">
                  <c:v>7.0610884144199932</c:v>
                </c:pt>
                <c:pt idx="346">
                  <c:v>7.0533130467172001</c:v>
                </c:pt>
                <c:pt idx="347">
                  <c:v>7.0426781846223907</c:v>
                </c:pt>
                <c:pt idx="348">
                  <c:v>7.0293342888054786</c:v>
                </c:pt>
                <c:pt idx="349">
                  <c:v>7.0134229974054811</c:v>
                </c:pt>
                <c:pt idx="350">
                  <c:v>6.9950777602533263</c:v>
                </c:pt>
                <c:pt idx="351">
                  <c:v>6.9744244280636023</c:v>
                </c:pt>
                <c:pt idx="352">
                  <c:v>6.9515817988097188</c:v>
                </c:pt>
                <c:pt idx="353">
                  <c:v>6.9266621236313881</c:v>
                </c:pt>
                <c:pt idx="354">
                  <c:v>6.8997715746831858</c:v>
                </c:pt>
                <c:pt idx="355">
                  <c:v>6.8710106773360611</c:v>
                </c:pt>
                <c:pt idx="356">
                  <c:v>6.8404747091052922</c:v>
                </c:pt>
                <c:pt idx="357">
                  <c:v>6.8082540676095515</c:v>
                </c:pt>
                <c:pt idx="358">
                  <c:v>6.7744346097759891</c:v>
                </c:pt>
                <c:pt idx="359">
                  <c:v>6.7390979644024398</c:v>
                </c:pt>
                <c:pt idx="360">
                  <c:v>6.7023218200755643</c:v>
                </c:pt>
                <c:pt idx="361">
                  <c:v>6.6641801903270741</c:v>
                </c:pt>
                <c:pt idx="362">
                  <c:v>6.624743657792596</c:v>
                </c:pt>
                <c:pt idx="363">
                  <c:v>6.5840795990210106</c:v>
                </c:pt>
                <c:pt idx="364">
                  <c:v>6.5422523914686348</c:v>
                </c:pt>
                <c:pt idx="365">
                  <c:v>6.4993236041030418</c:v>
                </c:pt>
                <c:pt idx="366">
                  <c:v>6.4553521729367098</c:v>
                </c:pt>
                <c:pt idx="367">
                  <c:v>6.4103945627115841</c:v>
                </c:pt>
                <c:pt idx="368">
                  <c:v>6.364504915862109</c:v>
                </c:pt>
                <c:pt idx="369">
                  <c:v>6.3177351897966876</c:v>
                </c:pt>
                <c:pt idx="370">
                  <c:v>6.2701352834555539</c:v>
                </c:pt>
                <c:pt idx="371">
                  <c:v>6.2217531540268602</c:v>
                </c:pt>
                <c:pt idx="372">
                  <c:v>6.1726349246319288</c:v>
                </c:pt>
                <c:pt idx="373">
                  <c:v>6.1228249837250512</c:v>
                </c:pt>
                <c:pt idx="374">
                  <c:v>6.072366076892556</c:v>
                </c:pt>
                <c:pt idx="375">
                  <c:v>6.021299391679956</c:v>
                </c:pt>
                <c:pt idx="376">
                  <c:v>5.9696646360243051</c:v>
                </c:pt>
                <c:pt idx="377">
                  <c:v>5.917500110821444</c:v>
                </c:pt>
                <c:pt idx="378">
                  <c:v>5.8648427771141147</c:v>
                </c:pt>
                <c:pt idx="379">
                  <c:v>5.8117283183467325</c:v>
                </c:pt>
                <c:pt idx="380">
                  <c:v>5.7581911980957239</c:v>
                </c:pt>
                <c:pt idx="381">
                  <c:v>5.7042647136504492</c:v>
                </c:pt>
                <c:pt idx="382">
                  <c:v>5.6499810457886417</c:v>
                </c:pt>
                <c:pt idx="383">
                  <c:v>5.5953713050617866</c:v>
                </c:pt>
                <c:pt idx="384">
                  <c:v>5.5404655748795939</c:v>
                </c:pt>
                <c:pt idx="385">
                  <c:v>5.4852929516588844</c:v>
                </c:pt>
                <c:pt idx="386">
                  <c:v>5.4298815822800437</c:v>
                </c:pt>
                <c:pt idx="387">
                  <c:v>5.3742586990740318</c:v>
                </c:pt>
                <c:pt idx="388">
                  <c:v>5.3184506525444855</c:v>
                </c:pt>
                <c:pt idx="389">
                  <c:v>5.2624829420124417</c:v>
                </c:pt>
                <c:pt idx="390">
                  <c:v>5.2063802443555218</c:v>
                </c:pt>
                <c:pt idx="391">
                  <c:v>5.1501664409993202</c:v>
                </c:pt>
                <c:pt idx="392">
                  <c:v>5.0938646433054746</c:v>
                </c:pt>
                <c:pt idx="393">
                  <c:v>5.0374972164888598</c:v>
                </c:pt>
                <c:pt idx="394">
                  <c:v>4.9810858021854774</c:v>
                </c:pt>
                <c:pt idx="395">
                  <c:v>4.9246513397822556</c:v>
                </c:pt>
                <c:pt idx="396">
                  <c:v>4.868214086610779</c:v>
                </c:pt>
                <c:pt idx="397">
                  <c:v>4.8117936370985044</c:v>
                </c:pt>
                <c:pt idx="398">
                  <c:v>4.7554089409629645</c:v>
                </c:pt>
                <c:pt idx="399">
                  <c:v>4.6990783205274669</c:v>
                </c:pt>
                <c:pt idx="400">
                  <c:v>4.6428194872300503</c:v>
                </c:pt>
                <c:pt idx="401">
                  <c:v>4.5866495573914401</c:v>
                </c:pt>
                <c:pt idx="402">
                  <c:v>4.5305850673021144</c:v>
                </c:pt>
                <c:pt idx="403">
                  <c:v>4.4746419876835093</c:v>
                </c:pt>
                <c:pt idx="404">
                  <c:v>4.4188357375736214</c:v>
                </c:pt>
                <c:pt idx="405">
                  <c:v>4.3631811976830308</c:v>
                </c:pt>
                <c:pt idx="406">
                  <c:v>4.307692723263199</c:v>
                </c:pt>
                <c:pt idx="407">
                  <c:v>4.2523841565254994</c:v>
                </c:pt>
                <c:pt idx="408">
                  <c:v>4.1972688386458268</c:v>
                </c:pt>
                <c:pt idx="409">
                  <c:v>4.1423596213867118</c:v>
                </c:pt>
                <c:pt idx="410">
                  <c:v>4.0876688783659443</c:v>
                </c:pt>
                <c:pt idx="411">
                  <c:v>4.0332085159981377</c:v>
                </c:pt>
                <c:pt idx="412">
                  <c:v>3.9789899841332934</c:v>
                </c:pt>
                <c:pt idx="413">
                  <c:v>3.9250242864141693</c:v>
                </c:pt>
                <c:pt idx="414">
                  <c:v>3.8713219903722953</c:v>
                </c:pt>
                <c:pt idx="415">
                  <c:v>3.8178932372806118</c:v>
                </c:pt>
                <c:pt idx="416">
                  <c:v>3.7647477517790273</c:v>
                </c:pt>
                <c:pt idx="417">
                  <c:v>3.7118948512875978</c:v>
                </c:pt>
                <c:pt idx="418">
                  <c:v>3.659343455220645</c:v>
                </c:pt>
                <c:pt idx="419">
                  <c:v>3.6071020940138601</c:v>
                </c:pt>
                <c:pt idx="420">
                  <c:v>3.5551789179751339</c:v>
                </c:pt>
                <c:pt idx="421">
                  <c:v>3.5035817059689052</c:v>
                </c:pt>
                <c:pt idx="422">
                  <c:v>3.4523178739427385</c:v>
                </c:pt>
                <c:pt idx="423">
                  <c:v>3.4013944833039469</c:v>
                </c:pt>
                <c:pt idx="424">
                  <c:v>3.3508182491532805</c:v>
                </c:pt>
                <c:pt idx="425">
                  <c:v>3.3005955483818914</c:v>
                </c:pt>
                <c:pt idx="426">
                  <c:v>3.25073242763722</c:v>
                </c:pt>
                <c:pt idx="427">
                  <c:v>3.2012346111626284</c:v>
                </c:pt>
                <c:pt idx="428">
                  <c:v>3.1521075085152725</c:v>
                </c:pt>
                <c:pt idx="429">
                  <c:v>3.1033562221660196</c:v>
                </c:pt>
                <c:pt idx="430">
                  <c:v>3.054985554984806</c:v>
                </c:pt>
                <c:pt idx="431">
                  <c:v>3.0070000176145397</c:v>
                </c:pt>
                <c:pt idx="432">
                  <c:v>2.9594038357359951</c:v>
                </c:pt>
                <c:pt idx="433">
                  <c:v>2.9122009572261858</c:v>
                </c:pt>
                <c:pt idx="434">
                  <c:v>2.865395059212033</c:v>
                </c:pt>
                <c:pt idx="435">
                  <c:v>2.8189895550211643</c:v>
                </c:pt>
                <c:pt idx="436">
                  <c:v>2.7729876010312937</c:v>
                </c:pt>
                <c:pt idx="437">
                  <c:v>2.7273921034194482</c:v>
                </c:pt>
                <c:pt idx="438">
                  <c:v>2.6822057248121469</c:v>
                </c:pt>
                <c:pt idx="439">
                  <c:v>2.6374308908374759</c:v>
                </c:pt>
                <c:pt idx="440">
                  <c:v>2.5930697965798331</c:v>
                </c:pt>
                <c:pt idx="441">
                  <c:v>2.5491244129380224</c:v>
                </c:pt>
                <c:pt idx="442">
                  <c:v>2.5055964928872339</c:v>
                </c:pt>
                <c:pt idx="443">
                  <c:v>2.4624875776454962</c:v>
                </c:pt>
                <c:pt idx="444">
                  <c:v>2.4197990027448384</c:v>
                </c:pt>
                <c:pt idx="445">
                  <c:v>2.3775319040076424</c:v>
                </c:pt>
                <c:pt idx="446">
                  <c:v>2.3356872234284651</c:v>
                </c:pt>
                <c:pt idx="447">
                  <c:v>2.2942657149615329</c:v>
                </c:pt>
                <c:pt idx="448">
                  <c:v>2.253267950214183</c:v>
                </c:pt>
                <c:pt idx="449">
                  <c:v>2.2126943240464669</c:v>
                </c:pt>
                <c:pt idx="450">
                  <c:v>2.172545060077125</c:v>
                </c:pt>
                <c:pt idx="451">
                  <c:v>2.1328202160961149</c:v>
                </c:pt>
                <c:pt idx="452">
                  <c:v>2.0935196893838812</c:v>
                </c:pt>
                <c:pt idx="453">
                  <c:v>2.0546432219376145</c:v>
                </c:pt>
                <c:pt idx="454">
                  <c:v>2.0161904056047071</c:v>
                </c:pt>
                <c:pt idx="455">
                  <c:v>1.9781606871236308</c:v>
                </c:pt>
                <c:pt idx="456">
                  <c:v>1.9405533730724667</c:v>
                </c:pt>
                <c:pt idx="457">
                  <c:v>1.9033676347254858</c:v>
                </c:pt>
                <c:pt idx="458">
                  <c:v>1.8666025128178916</c:v>
                </c:pt>
                <c:pt idx="459">
                  <c:v>1.8302569222192728</c:v>
                </c:pt>
                <c:pt idx="460">
                  <c:v>1.7943296565159654</c:v>
                </c:pt>
                <c:pt idx="461">
                  <c:v>1.7588193925027857</c:v>
                </c:pt>
                <c:pt idx="462">
                  <c:v>1.7237246945846039</c:v>
                </c:pt>
                <c:pt idx="463">
                  <c:v>1.689044019088108</c:v>
                </c:pt>
                <c:pt idx="464">
                  <c:v>1.6547757184843732</c:v>
                </c:pt>
                <c:pt idx="465">
                  <c:v>1.6209180455226928</c:v>
                </c:pt>
                <c:pt idx="466">
                  <c:v>1.5874691572762192</c:v>
                </c:pt>
                <c:pt idx="467">
                  <c:v>1.5544271191001027</c:v>
                </c:pt>
                <c:pt idx="468">
                  <c:v>1.5217899085026474</c:v>
                </c:pt>
                <c:pt idx="469">
                  <c:v>1.4895554189302231</c:v>
                </c:pt>
                <c:pt idx="470">
                  <c:v>1.4577214634666174</c:v>
                </c:pt>
                <c:pt idx="471">
                  <c:v>1.426285778447502</c:v>
                </c:pt>
                <c:pt idx="472">
                  <c:v>1.3952460269908613</c:v>
                </c:pt>
                <c:pt idx="473">
                  <c:v>1.3645998024441006</c:v>
                </c:pt>
                <c:pt idx="474">
                  <c:v>1.3343446317486496</c:v>
                </c:pt>
                <c:pt idx="475">
                  <c:v>1.3044779787230052</c:v>
                </c:pt>
                <c:pt idx="476">
                  <c:v>1.2749972472649205</c:v>
                </c:pt>
                <c:pt idx="477">
                  <c:v>1.2458997844738189</c:v>
                </c:pt>
                <c:pt idx="478">
                  <c:v>1.2171828836941909</c:v>
                </c:pt>
                <c:pt idx="479">
                  <c:v>1.1888437874810318</c:v>
                </c:pt>
                <c:pt idx="480">
                  <c:v>1.1608796904882457</c:v>
                </c:pt>
                <c:pt idx="481">
                  <c:v>1.1332877422809879</c:v>
                </c:pt>
                <c:pt idx="482">
                  <c:v>1.1060650500730045</c:v>
                </c:pt>
                <c:pt idx="483">
                  <c:v>1.0792086813898667</c:v>
                </c:pt>
                <c:pt idx="484">
                  <c:v>1.0527156666593527</c:v>
                </c:pt>
                <c:pt idx="485">
                  <c:v>1.0265830017297937</c:v>
                </c:pt>
                <c:pt idx="486">
                  <c:v>1.0008076503175953</c:v>
                </c:pt>
                <c:pt idx="487">
                  <c:v>0.97538654638501043</c:v>
                </c:pt>
                <c:pt idx="488">
                  <c:v>0.95031659644919309</c:v>
                </c:pt>
                <c:pt idx="489">
                  <c:v>0.92559468182365734</c:v>
                </c:pt>
                <c:pt idx="490">
                  <c:v>0.9012176607932556</c:v>
                </c:pt>
                <c:pt idx="491">
                  <c:v>0.87718237072380134</c:v>
                </c:pt>
                <c:pt idx="492">
                  <c:v>0.85348563010743383</c:v>
                </c:pt>
                <c:pt idx="493">
                  <c:v>0.83012424054487255</c:v>
                </c:pt>
                <c:pt idx="494">
                  <c:v>0.80709498866564289</c:v>
                </c:pt>
                <c:pt idx="495">
                  <c:v>0.7843946479874937</c:v>
                </c:pt>
                <c:pt idx="496">
                  <c:v>0.76201998071601729</c:v>
                </c:pt>
                <c:pt idx="497">
                  <c:v>0.73996773948572958</c:v>
                </c:pt>
                <c:pt idx="498">
                  <c:v>0.71823466904366207</c:v>
                </c:pt>
                <c:pt idx="499">
                  <c:v>0.69681750787659524</c:v>
                </c:pt>
                <c:pt idx="500">
                  <c:v>0.67571298978311667</c:v>
                </c:pt>
                <c:pt idx="501">
                  <c:v>0.65491784539158715</c:v>
                </c:pt>
                <c:pt idx="502">
                  <c:v>0.63442880362510401</c:v>
                </c:pt>
                <c:pt idx="503">
                  <c:v>0.61424259311469243</c:v>
                </c:pt>
                <c:pt idx="504">
                  <c:v>0.59435594356164678</c:v>
                </c:pt>
                <c:pt idx="505">
                  <c:v>0.57476558705033298</c:v>
                </c:pt>
                <c:pt idx="506">
                  <c:v>0.57474631742903881</c:v>
                </c:pt>
                <c:pt idx="507">
                  <c:v>0.57472704809578445</c:v>
                </c:pt>
                <c:pt idx="508">
                  <c:v>0.57470777905055925</c:v>
                </c:pt>
                <c:pt idx="509">
                  <c:v>0.57468851029337031</c:v>
                </c:pt>
                <c:pt idx="510">
                  <c:v>0.57466924182421231</c:v>
                </c:pt>
                <c:pt idx="511">
                  <c:v>0.57464997364308523</c:v>
                </c:pt>
                <c:pt idx="512">
                  <c:v>0.57463070574997843</c:v>
                </c:pt>
                <c:pt idx="513">
                  <c:v>0.57461143814489546</c:v>
                </c:pt>
                <c:pt idx="514">
                  <c:v>0.57459217082782743</c:v>
                </c:pt>
                <c:pt idx="515">
                  <c:v>0.5745729037987779</c:v>
                </c:pt>
                <c:pt idx="516">
                  <c:v>0.57455363705773976</c:v>
                </c:pt>
                <c:pt idx="517">
                  <c:v>0.57453437060470591</c:v>
                </c:pt>
                <c:pt idx="518">
                  <c:v>0.5745151044396799</c:v>
                </c:pt>
                <c:pt idx="519">
                  <c:v>0.57449583856265818</c:v>
                </c:pt>
                <c:pt idx="520">
                  <c:v>0.57447657297363186</c:v>
                </c:pt>
                <c:pt idx="521">
                  <c:v>0.57445730767260805</c:v>
                </c:pt>
                <c:pt idx="522">
                  <c:v>0.57443804265956899</c:v>
                </c:pt>
                <c:pt idx="523">
                  <c:v>0.57441877793452178</c:v>
                </c:pt>
                <c:pt idx="524">
                  <c:v>0.57439951349745932</c:v>
                </c:pt>
                <c:pt idx="525">
                  <c:v>0.57438024934838339</c:v>
                </c:pt>
                <c:pt idx="526">
                  <c:v>0.57436098548728154</c:v>
                </c:pt>
                <c:pt idx="527">
                  <c:v>0.57434172191416089</c:v>
                </c:pt>
                <c:pt idx="528">
                  <c:v>0.57432245862901254</c:v>
                </c:pt>
                <c:pt idx="529">
                  <c:v>0.57430319563183652</c:v>
                </c:pt>
                <c:pt idx="530">
                  <c:v>0.5742839329226257</c:v>
                </c:pt>
                <c:pt idx="531">
                  <c:v>0.57426467050137653</c:v>
                </c:pt>
                <c:pt idx="532">
                  <c:v>0.57424540836809079</c:v>
                </c:pt>
                <c:pt idx="533">
                  <c:v>0.57422614652276138</c:v>
                </c:pt>
                <c:pt idx="534">
                  <c:v>0.57420688496538475</c:v>
                </c:pt>
                <c:pt idx="535">
                  <c:v>0.57418762369596266</c:v>
                </c:pt>
                <c:pt idx="536">
                  <c:v>0.57416836271448624</c:v>
                </c:pt>
                <c:pt idx="537">
                  <c:v>0.57414910202095726</c:v>
                </c:pt>
                <c:pt idx="538">
                  <c:v>0.57412984161536862</c:v>
                </c:pt>
                <c:pt idx="539">
                  <c:v>0.57411058149771677</c:v>
                </c:pt>
                <c:pt idx="540">
                  <c:v>0.57409132166799814</c:v>
                </c:pt>
                <c:pt idx="541">
                  <c:v>0.57407206212621631</c:v>
                </c:pt>
                <c:pt idx="542">
                  <c:v>0.5740528028723606</c:v>
                </c:pt>
                <c:pt idx="543">
                  <c:v>0.57403354390642924</c:v>
                </c:pt>
                <c:pt idx="544">
                  <c:v>0.57401428522842579</c:v>
                </c:pt>
                <c:pt idx="545">
                  <c:v>0.57399502683833781</c:v>
                </c:pt>
                <c:pt idx="546">
                  <c:v>0.57397576873616707</c:v>
                </c:pt>
                <c:pt idx="547">
                  <c:v>0.57395651092190825</c:v>
                </c:pt>
                <c:pt idx="548">
                  <c:v>0.57393725339555957</c:v>
                </c:pt>
                <c:pt idx="549">
                  <c:v>0.57391799615711747</c:v>
                </c:pt>
                <c:pt idx="550">
                  <c:v>0.57389873920658019</c:v>
                </c:pt>
                <c:pt idx="551">
                  <c:v>0.57387948254394239</c:v>
                </c:pt>
                <c:pt idx="552">
                  <c:v>0.57386022616919874</c:v>
                </c:pt>
                <c:pt idx="553">
                  <c:v>0.57384097008235102</c:v>
                </c:pt>
                <c:pt idx="554">
                  <c:v>0.5738217142833939</c:v>
                </c:pt>
                <c:pt idx="555">
                  <c:v>0.57380245877232383</c:v>
                </c:pt>
                <c:pt idx="556">
                  <c:v>0.57378320354913726</c:v>
                </c:pt>
                <c:pt idx="557">
                  <c:v>0.5737639486138324</c:v>
                </c:pt>
                <c:pt idx="558">
                  <c:v>0.57374469396640571</c:v>
                </c:pt>
                <c:pt idx="559">
                  <c:v>0.5737254396068554</c:v>
                </c:pt>
                <c:pt idx="560">
                  <c:v>0.57370618553517083</c:v>
                </c:pt>
                <c:pt idx="561">
                  <c:v>0.57368693175136265</c:v>
                </c:pt>
                <c:pt idx="562">
                  <c:v>0.57366767825541309</c:v>
                </c:pt>
                <c:pt idx="563">
                  <c:v>0.57364842504733105</c:v>
                </c:pt>
                <c:pt idx="564">
                  <c:v>0.57362917212710229</c:v>
                </c:pt>
                <c:pt idx="565">
                  <c:v>0.57360991949473394</c:v>
                </c:pt>
                <c:pt idx="566">
                  <c:v>0.57359066715021889</c:v>
                </c:pt>
                <c:pt idx="567">
                  <c:v>0.57357141509354648</c:v>
                </c:pt>
                <c:pt idx="568">
                  <c:v>0.57355216332472203</c:v>
                </c:pt>
                <c:pt idx="569">
                  <c:v>0.57353291184374022</c:v>
                </c:pt>
                <c:pt idx="570">
                  <c:v>0.57351366065060283</c:v>
                </c:pt>
                <c:pt idx="571">
                  <c:v>0.57349440974529919</c:v>
                </c:pt>
                <c:pt idx="572">
                  <c:v>0.57347515912783109</c:v>
                </c:pt>
                <c:pt idx="573">
                  <c:v>0.57345590879818786</c:v>
                </c:pt>
                <c:pt idx="574">
                  <c:v>0.57343665875636951</c:v>
                </c:pt>
                <c:pt idx="575">
                  <c:v>0.57341740900238314</c:v>
                </c:pt>
                <c:pt idx="576">
                  <c:v>0.57339815953621098</c:v>
                </c:pt>
                <c:pt idx="577">
                  <c:v>0.57337891035786193</c:v>
                </c:pt>
                <c:pt idx="578">
                  <c:v>0.57335966146732353</c:v>
                </c:pt>
                <c:pt idx="579">
                  <c:v>0.57334041286459758</c:v>
                </c:pt>
                <c:pt idx="580">
                  <c:v>0.57332116454967874</c:v>
                </c:pt>
                <c:pt idx="581">
                  <c:v>0.57330191652256346</c:v>
                </c:pt>
                <c:pt idx="582">
                  <c:v>0.57328266878325174</c:v>
                </c:pt>
                <c:pt idx="583">
                  <c:v>0.57326342133173469</c:v>
                </c:pt>
                <c:pt idx="584">
                  <c:v>0.57324417416801587</c:v>
                </c:pt>
                <c:pt idx="585">
                  <c:v>0.57322492729209173</c:v>
                </c:pt>
                <c:pt idx="586">
                  <c:v>0.57320568070394629</c:v>
                </c:pt>
                <c:pt idx="587">
                  <c:v>0.57318643440359374</c:v>
                </c:pt>
                <c:pt idx="588">
                  <c:v>0.57316718839102343</c:v>
                </c:pt>
                <c:pt idx="589">
                  <c:v>0.57314794266623181</c:v>
                </c:pt>
                <c:pt idx="590">
                  <c:v>0.57312869722921533</c:v>
                </c:pt>
                <c:pt idx="591">
                  <c:v>0.57310945207996866</c:v>
                </c:pt>
                <c:pt idx="592">
                  <c:v>0.57309020721849535</c:v>
                </c:pt>
                <c:pt idx="593">
                  <c:v>0.57307096264479185</c:v>
                </c:pt>
                <c:pt idx="594">
                  <c:v>0.57305171835884572</c:v>
                </c:pt>
                <c:pt idx="595">
                  <c:v>0.57303247436066407</c:v>
                </c:pt>
                <c:pt idx="596">
                  <c:v>0.57301323065023624</c:v>
                </c:pt>
                <c:pt idx="597">
                  <c:v>0.57299398722756756</c:v>
                </c:pt>
                <c:pt idx="598">
                  <c:v>0.57297474409263849</c:v>
                </c:pt>
                <c:pt idx="599">
                  <c:v>0.57295550124545969</c:v>
                </c:pt>
                <c:pt idx="600">
                  <c:v>0.57293625868602938</c:v>
                </c:pt>
                <c:pt idx="601">
                  <c:v>0.572917016414344</c:v>
                </c:pt>
                <c:pt idx="602">
                  <c:v>0.57289777443039469</c:v>
                </c:pt>
                <c:pt idx="603">
                  <c:v>0.57287853273417433</c:v>
                </c:pt>
                <c:pt idx="604">
                  <c:v>0.57285929132568292</c:v>
                </c:pt>
                <c:pt idx="605">
                  <c:v>0.57284005020492579</c:v>
                </c:pt>
                <c:pt idx="606">
                  <c:v>0.57282080937189406</c:v>
                </c:pt>
                <c:pt idx="607">
                  <c:v>0.57280156882657707</c:v>
                </c:pt>
                <c:pt idx="608">
                  <c:v>0.57278232856898725</c:v>
                </c:pt>
                <c:pt idx="609">
                  <c:v>0.57276308859910685</c:v>
                </c:pt>
                <c:pt idx="610">
                  <c:v>0.57274384891694474</c:v>
                </c:pt>
                <c:pt idx="611">
                  <c:v>0.57272460952248494</c:v>
                </c:pt>
                <c:pt idx="612">
                  <c:v>0.57270537041573633</c:v>
                </c:pt>
                <c:pt idx="613">
                  <c:v>0.57268613159668824</c:v>
                </c:pt>
                <c:pt idx="614">
                  <c:v>0.57266689306534069</c:v>
                </c:pt>
                <c:pt idx="615">
                  <c:v>0.57264765482168656</c:v>
                </c:pt>
                <c:pt idx="616">
                  <c:v>0.57262841686573118</c:v>
                </c:pt>
                <c:pt idx="617">
                  <c:v>0.57260917919746035</c:v>
                </c:pt>
                <c:pt idx="618">
                  <c:v>0.57258994181688294</c:v>
                </c:pt>
                <c:pt idx="619">
                  <c:v>0.57257070472398119</c:v>
                </c:pt>
                <c:pt idx="620">
                  <c:v>0.57255146791876577</c:v>
                </c:pt>
                <c:pt idx="621">
                  <c:v>0.572532231401226</c:v>
                </c:pt>
                <c:pt idx="622">
                  <c:v>0.57251299517136189</c:v>
                </c:pt>
                <c:pt idx="623">
                  <c:v>0.57249375922916634</c:v>
                </c:pt>
                <c:pt idx="624">
                  <c:v>0.57247452357463402</c:v>
                </c:pt>
                <c:pt idx="625">
                  <c:v>0.57245528820777203</c:v>
                </c:pt>
                <c:pt idx="626">
                  <c:v>0.57243605312857504</c:v>
                </c:pt>
                <c:pt idx="627">
                  <c:v>0.57241681833703417</c:v>
                </c:pt>
                <c:pt idx="628">
                  <c:v>0.57239758383314054</c:v>
                </c:pt>
                <c:pt idx="629">
                  <c:v>0.57237834961690481</c:v>
                </c:pt>
                <c:pt idx="630">
                  <c:v>0.57235911568831455</c:v>
                </c:pt>
                <c:pt idx="631">
                  <c:v>0.57233988204736974</c:v>
                </c:pt>
                <c:pt idx="632">
                  <c:v>0.57232064869407218</c:v>
                </c:pt>
                <c:pt idx="633">
                  <c:v>0.57230141562840764</c:v>
                </c:pt>
                <c:pt idx="634">
                  <c:v>0.57228218285038146</c:v>
                </c:pt>
                <c:pt idx="635">
                  <c:v>0.57226295035999009</c:v>
                </c:pt>
                <c:pt idx="636">
                  <c:v>0.57224371815722463</c:v>
                </c:pt>
                <c:pt idx="637">
                  <c:v>0.57222448624209044</c:v>
                </c:pt>
                <c:pt idx="638">
                  <c:v>0.57220525461458038</c:v>
                </c:pt>
                <c:pt idx="639">
                  <c:v>0.57218602327467849</c:v>
                </c:pt>
                <c:pt idx="640">
                  <c:v>0.57216679222240785</c:v>
                </c:pt>
                <c:pt idx="641">
                  <c:v>0.57214756145774182</c:v>
                </c:pt>
                <c:pt idx="642">
                  <c:v>0.57212833098069282</c:v>
                </c:pt>
                <c:pt idx="643">
                  <c:v>0.57210910079124311</c:v>
                </c:pt>
                <c:pt idx="644">
                  <c:v>0.57208987088940333</c:v>
                </c:pt>
                <c:pt idx="645">
                  <c:v>0.5720706412751646</c:v>
                </c:pt>
                <c:pt idx="646">
                  <c:v>0.57205141194851983</c:v>
                </c:pt>
                <c:pt idx="647">
                  <c:v>0.572032182909469</c:v>
                </c:pt>
                <c:pt idx="648">
                  <c:v>0.57201295415801212</c:v>
                </c:pt>
                <c:pt idx="649">
                  <c:v>0.57199372569414564</c:v>
                </c:pt>
                <c:pt idx="650">
                  <c:v>0.57197449751785712</c:v>
                </c:pt>
                <c:pt idx="651">
                  <c:v>0.57195526962915721</c:v>
                </c:pt>
                <c:pt idx="652">
                  <c:v>0.57193604202802995</c:v>
                </c:pt>
                <c:pt idx="653">
                  <c:v>0.57191681471448064</c:v>
                </c:pt>
                <c:pt idx="654">
                  <c:v>0.57189758768850929</c:v>
                </c:pt>
                <c:pt idx="655">
                  <c:v>0.57187836095009992</c:v>
                </c:pt>
                <c:pt idx="656">
                  <c:v>0.57185913449925785</c:v>
                </c:pt>
                <c:pt idx="657">
                  <c:v>0.57183990833598131</c:v>
                </c:pt>
                <c:pt idx="658">
                  <c:v>0.57182068246026141</c:v>
                </c:pt>
                <c:pt idx="659">
                  <c:v>0.5718014568720946</c:v>
                </c:pt>
                <c:pt idx="660">
                  <c:v>0.57178223157148622</c:v>
                </c:pt>
                <c:pt idx="661">
                  <c:v>0.5717630065584256</c:v>
                </c:pt>
                <c:pt idx="662">
                  <c:v>0.57174378183291097</c:v>
                </c:pt>
                <c:pt idx="663">
                  <c:v>0.57172455739493877</c:v>
                </c:pt>
                <c:pt idx="664">
                  <c:v>0.57170533324450901</c:v>
                </c:pt>
                <c:pt idx="665">
                  <c:v>0.57168610938161635</c:v>
                </c:pt>
                <c:pt idx="666">
                  <c:v>0.57166688580625546</c:v>
                </c:pt>
                <c:pt idx="667">
                  <c:v>0.57164766251842813</c:v>
                </c:pt>
                <c:pt idx="668">
                  <c:v>0.57162843951812903</c:v>
                </c:pt>
                <c:pt idx="669">
                  <c:v>0.57160921680535282</c:v>
                </c:pt>
                <c:pt idx="670">
                  <c:v>0.57158999438009594</c:v>
                </c:pt>
                <c:pt idx="671">
                  <c:v>0.57157077224235842</c:v>
                </c:pt>
                <c:pt idx="672">
                  <c:v>0.57155155039213845</c:v>
                </c:pt>
                <c:pt idx="673">
                  <c:v>0.57153232882943072</c:v>
                </c:pt>
                <c:pt idx="674">
                  <c:v>0.57151310755423168</c:v>
                </c:pt>
                <c:pt idx="675">
                  <c:v>0.57149388656653066</c:v>
                </c:pt>
                <c:pt idx="676">
                  <c:v>0.5714746658663401</c:v>
                </c:pt>
                <c:pt idx="677">
                  <c:v>0.57145544545364224</c:v>
                </c:pt>
                <c:pt idx="678">
                  <c:v>0.57143622532844596</c:v>
                </c:pt>
                <c:pt idx="679">
                  <c:v>0.57141700549073704</c:v>
                </c:pt>
                <c:pt idx="680">
                  <c:v>0.57139778594051904</c:v>
                </c:pt>
                <c:pt idx="681">
                  <c:v>0.57137856667779019</c:v>
                </c:pt>
                <c:pt idx="682">
                  <c:v>0.5713593477025416</c:v>
                </c:pt>
                <c:pt idx="683">
                  <c:v>0.57134012901477327</c:v>
                </c:pt>
                <c:pt idx="684">
                  <c:v>0.57132091061448342</c:v>
                </c:pt>
                <c:pt idx="685">
                  <c:v>0.57130169250166674</c:v>
                </c:pt>
                <c:pt idx="686">
                  <c:v>0.57128247467631965</c:v>
                </c:pt>
                <c:pt idx="687">
                  <c:v>0.57126325713843684</c:v>
                </c:pt>
                <c:pt idx="688">
                  <c:v>0.57124403988801831</c:v>
                </c:pt>
                <c:pt idx="689">
                  <c:v>0.57122482292506582</c:v>
                </c:pt>
                <c:pt idx="690">
                  <c:v>0.57120560624956518</c:v>
                </c:pt>
                <c:pt idx="691">
                  <c:v>0.5711863898615217</c:v>
                </c:pt>
                <c:pt idx="692">
                  <c:v>0.57116717376093007</c:v>
                </c:pt>
                <c:pt idx="693">
                  <c:v>0.57114795794778495</c:v>
                </c:pt>
                <c:pt idx="694">
                  <c:v>0.57112874242208811</c:v>
                </c:pt>
                <c:pt idx="695">
                  <c:v>0.57110952718383068</c:v>
                </c:pt>
                <c:pt idx="696">
                  <c:v>0.57109031223300732</c:v>
                </c:pt>
                <c:pt idx="697">
                  <c:v>0.5710710975696216</c:v>
                </c:pt>
                <c:pt idx="698">
                  <c:v>0.5710518831936735</c:v>
                </c:pt>
                <c:pt idx="699">
                  <c:v>0.57103266910514883</c:v>
                </c:pt>
                <c:pt idx="700">
                  <c:v>0.57101345530405112</c:v>
                </c:pt>
                <c:pt idx="701">
                  <c:v>0.57099424179037861</c:v>
                </c:pt>
                <c:pt idx="702">
                  <c:v>0.57097502856412419</c:v>
                </c:pt>
                <c:pt idx="703">
                  <c:v>0.5709558156252843</c:v>
                </c:pt>
                <c:pt idx="704">
                  <c:v>0.57093660297385718</c:v>
                </c:pt>
                <c:pt idx="705">
                  <c:v>0.57091739060984104</c:v>
                </c:pt>
                <c:pt idx="706">
                  <c:v>0.5708981785332341</c:v>
                </c:pt>
                <c:pt idx="707">
                  <c:v>0.57087896674402749</c:v>
                </c:pt>
                <c:pt idx="708">
                  <c:v>0.57085975524222299</c:v>
                </c:pt>
                <c:pt idx="709">
                  <c:v>0.57084054402781526</c:v>
                </c:pt>
                <c:pt idx="710">
                  <c:v>0.57082133310080074</c:v>
                </c:pt>
                <c:pt idx="711">
                  <c:v>0.5708021224611759</c:v>
                </c:pt>
                <c:pt idx="712">
                  <c:v>0.57078291210893894</c:v>
                </c:pt>
                <c:pt idx="713">
                  <c:v>0.57076370204408811</c:v>
                </c:pt>
                <c:pt idx="714">
                  <c:v>0.57074449226661983</c:v>
                </c:pt>
                <c:pt idx="715">
                  <c:v>0.57072528277652879</c:v>
                </c:pt>
                <c:pt idx="716">
                  <c:v>0.57070607357380609</c:v>
                </c:pt>
                <c:pt idx="717">
                  <c:v>0.57068686465846419</c:v>
                </c:pt>
                <c:pt idx="718">
                  <c:v>0.57066765603048353</c:v>
                </c:pt>
                <c:pt idx="719">
                  <c:v>0.570648447689873</c:v>
                </c:pt>
                <c:pt idx="720">
                  <c:v>0.57062923963661838</c:v>
                </c:pt>
                <c:pt idx="721">
                  <c:v>0.57061003187072856</c:v>
                </c:pt>
                <c:pt idx="722">
                  <c:v>0.57059082439219111</c:v>
                </c:pt>
                <c:pt idx="723">
                  <c:v>0.57057161720101135</c:v>
                </c:pt>
                <c:pt idx="724">
                  <c:v>0.57055241029717507</c:v>
                </c:pt>
                <c:pt idx="725">
                  <c:v>0.57053320368068583</c:v>
                </c:pt>
                <c:pt idx="726">
                  <c:v>0.57051399735154185</c:v>
                </c:pt>
                <c:pt idx="727">
                  <c:v>0.57049479130973779</c:v>
                </c:pt>
                <c:pt idx="728">
                  <c:v>0.57047558555527189</c:v>
                </c:pt>
                <c:pt idx="729">
                  <c:v>0.57045638008813704</c:v>
                </c:pt>
                <c:pt idx="730">
                  <c:v>0.57043717490833146</c:v>
                </c:pt>
                <c:pt idx="731">
                  <c:v>0.57041797001585159</c:v>
                </c:pt>
                <c:pt idx="732">
                  <c:v>0.570398765410701</c:v>
                </c:pt>
                <c:pt idx="733">
                  <c:v>0.57037956109286903</c:v>
                </c:pt>
                <c:pt idx="734">
                  <c:v>0.57036035706235211</c:v>
                </c:pt>
                <c:pt idx="735">
                  <c:v>0.57034115331914848</c:v>
                </c:pt>
                <c:pt idx="736">
                  <c:v>0.57032194986325635</c:v>
                </c:pt>
                <c:pt idx="737">
                  <c:v>0.57030274669467751</c:v>
                </c:pt>
                <c:pt idx="738">
                  <c:v>0.57028354381339597</c:v>
                </c:pt>
                <c:pt idx="739">
                  <c:v>0.5702643412194206</c:v>
                </c:pt>
                <c:pt idx="740">
                  <c:v>0.57024513891274786</c:v>
                </c:pt>
                <c:pt idx="741">
                  <c:v>0.57022593689336354</c:v>
                </c:pt>
                <c:pt idx="742">
                  <c:v>0.57020673516127474</c:v>
                </c:pt>
                <c:pt idx="743">
                  <c:v>0.57018753371646902</c:v>
                </c:pt>
                <c:pt idx="744">
                  <c:v>0.57016833255895527</c:v>
                </c:pt>
                <c:pt idx="745">
                  <c:v>0.57014913168872106</c:v>
                </c:pt>
                <c:pt idx="746">
                  <c:v>0.57012993110576637</c:v>
                </c:pt>
                <c:pt idx="747">
                  <c:v>0.57011073081008412</c:v>
                </c:pt>
                <c:pt idx="748">
                  <c:v>0.57009153080168318</c:v>
                </c:pt>
                <c:pt idx="749">
                  <c:v>0.57007233108054578</c:v>
                </c:pt>
                <c:pt idx="750">
                  <c:v>0.57005313164667903</c:v>
                </c:pt>
                <c:pt idx="751">
                  <c:v>0.57003393250007228</c:v>
                </c:pt>
                <c:pt idx="752">
                  <c:v>0.5700147336407273</c:v>
                </c:pt>
                <c:pt idx="753">
                  <c:v>0.56999553506864231</c:v>
                </c:pt>
                <c:pt idx="754">
                  <c:v>0.56997633678380488</c:v>
                </c:pt>
                <c:pt idx="755">
                  <c:v>0.56995713878622034</c:v>
                </c:pt>
                <c:pt idx="756">
                  <c:v>0.56993794107588513</c:v>
                </c:pt>
                <c:pt idx="757">
                  <c:v>0.56991874365279394</c:v>
                </c:pt>
                <c:pt idx="758">
                  <c:v>0.56989954651694497</c:v>
                </c:pt>
                <c:pt idx="759">
                  <c:v>0.56988034966833112</c:v>
                </c:pt>
                <c:pt idx="760">
                  <c:v>0.56986115310695418</c:v>
                </c:pt>
                <c:pt idx="761">
                  <c:v>0.56984195683280703</c:v>
                </c:pt>
                <c:pt idx="762">
                  <c:v>0.56982276084589145</c:v>
                </c:pt>
                <c:pt idx="763">
                  <c:v>0.56980356514619324</c:v>
                </c:pt>
                <c:pt idx="764">
                  <c:v>0.56978436973372482</c:v>
                </c:pt>
                <c:pt idx="765">
                  <c:v>0.56976517460847376</c:v>
                </c:pt>
                <c:pt idx="766">
                  <c:v>0.56974597977044006</c:v>
                </c:pt>
                <c:pt idx="767">
                  <c:v>0.56972678521961306</c:v>
                </c:pt>
                <c:pt idx="768">
                  <c:v>0.56970759095599988</c:v>
                </c:pt>
                <c:pt idx="769">
                  <c:v>0.56968839697958629</c:v>
                </c:pt>
                <c:pt idx="770">
                  <c:v>0.56966920329038295</c:v>
                </c:pt>
                <c:pt idx="771">
                  <c:v>0.56965000988837566</c:v>
                </c:pt>
                <c:pt idx="772">
                  <c:v>0.56963081677356797</c:v>
                </c:pt>
                <c:pt idx="773">
                  <c:v>0.56961162394595277</c:v>
                </c:pt>
                <c:pt idx="774">
                  <c:v>0.56959243140552474</c:v>
                </c:pt>
                <c:pt idx="775">
                  <c:v>0.56957323915228919</c:v>
                </c:pt>
                <c:pt idx="776">
                  <c:v>0.56955404718623193</c:v>
                </c:pt>
                <c:pt idx="777">
                  <c:v>0.5695348555073565</c:v>
                </c:pt>
                <c:pt idx="778">
                  <c:v>0.56951566411565935</c:v>
                </c:pt>
                <c:pt idx="779">
                  <c:v>0.56949647301113338</c:v>
                </c:pt>
                <c:pt idx="780">
                  <c:v>0.56947728219378213</c:v>
                </c:pt>
                <c:pt idx="781">
                  <c:v>0.56945809166360029</c:v>
                </c:pt>
                <c:pt idx="782">
                  <c:v>0.56943890142058251</c:v>
                </c:pt>
                <c:pt idx="783">
                  <c:v>0.56941971146472525</c:v>
                </c:pt>
                <c:pt idx="784">
                  <c:v>0.56940052179602674</c:v>
                </c:pt>
                <c:pt idx="785">
                  <c:v>0.56938133241447986</c:v>
                </c:pt>
                <c:pt idx="786">
                  <c:v>0.56936214332008994</c:v>
                </c:pt>
                <c:pt idx="787">
                  <c:v>0.56934295451284633</c:v>
                </c:pt>
                <c:pt idx="788">
                  <c:v>0.56932376599274903</c:v>
                </c:pt>
                <c:pt idx="789">
                  <c:v>0.56930457775979093</c:v>
                </c:pt>
                <c:pt idx="790">
                  <c:v>0.56928538981397914</c:v>
                </c:pt>
                <c:pt idx="791">
                  <c:v>0.56926620215530299</c:v>
                </c:pt>
                <c:pt idx="792">
                  <c:v>0.56924701478375361</c:v>
                </c:pt>
                <c:pt idx="793">
                  <c:v>0.56922782769933633</c:v>
                </c:pt>
                <c:pt idx="794">
                  <c:v>0.56920864090204581</c:v>
                </c:pt>
                <c:pt idx="795">
                  <c:v>0.56918945439188029</c:v>
                </c:pt>
                <c:pt idx="796">
                  <c:v>0.56917026816883087</c:v>
                </c:pt>
                <c:pt idx="797">
                  <c:v>0.56915108223289756</c:v>
                </c:pt>
                <c:pt idx="798">
                  <c:v>0.56913189658408392</c:v>
                </c:pt>
                <c:pt idx="799">
                  <c:v>0.56911271122238283</c:v>
                </c:pt>
                <c:pt idx="800">
                  <c:v>0.56909352614778363</c:v>
                </c:pt>
                <c:pt idx="801">
                  <c:v>0.56907434136028101</c:v>
                </c:pt>
                <c:pt idx="802">
                  <c:v>0.56905515685989094</c:v>
                </c:pt>
                <c:pt idx="803">
                  <c:v>0.56903597264659922</c:v>
                </c:pt>
                <c:pt idx="804">
                  <c:v>0.56901678872039341</c:v>
                </c:pt>
                <c:pt idx="805">
                  <c:v>0.56899760508128772</c:v>
                </c:pt>
                <c:pt idx="806">
                  <c:v>0.56897842172926616</c:v>
                </c:pt>
                <c:pt idx="807">
                  <c:v>0.56895923866433051</c:v>
                </c:pt>
                <c:pt idx="808">
                  <c:v>0.56894005588647723</c:v>
                </c:pt>
                <c:pt idx="809">
                  <c:v>0.56892087339570274</c:v>
                </c:pt>
                <c:pt idx="810">
                  <c:v>0.56890169119199996</c:v>
                </c:pt>
                <c:pt idx="811">
                  <c:v>0.56888250927537776</c:v>
                </c:pt>
                <c:pt idx="812">
                  <c:v>0.56886332764582015</c:v>
                </c:pt>
                <c:pt idx="813">
                  <c:v>0.56884414630332714</c:v>
                </c:pt>
                <c:pt idx="814">
                  <c:v>0.56882496524790049</c:v>
                </c:pt>
                <c:pt idx="815">
                  <c:v>0.56880578447953134</c:v>
                </c:pt>
                <c:pt idx="816">
                  <c:v>0.56878660399821612</c:v>
                </c:pt>
                <c:pt idx="817">
                  <c:v>0.56876742380395839</c:v>
                </c:pt>
                <c:pt idx="818">
                  <c:v>0.56874824389674927</c:v>
                </c:pt>
                <c:pt idx="819">
                  <c:v>0.56872906427658876</c:v>
                </c:pt>
                <c:pt idx="820">
                  <c:v>0.56870988494346797</c:v>
                </c:pt>
                <c:pt idx="821">
                  <c:v>0.56869070589739046</c:v>
                </c:pt>
                <c:pt idx="822">
                  <c:v>0.56867152713834734</c:v>
                </c:pt>
                <c:pt idx="823">
                  <c:v>0.56865234866634573</c:v>
                </c:pt>
                <c:pt idx="824">
                  <c:v>0.5686331704813643</c:v>
                </c:pt>
                <c:pt idx="825">
                  <c:v>0.56861399258341905</c:v>
                </c:pt>
                <c:pt idx="826">
                  <c:v>0.56859481497249398</c:v>
                </c:pt>
                <c:pt idx="827">
                  <c:v>0.56857563764859265</c:v>
                </c:pt>
                <c:pt idx="828">
                  <c:v>0.56855646061170972</c:v>
                </c:pt>
                <c:pt idx="829">
                  <c:v>0.56853728386184343</c:v>
                </c:pt>
                <c:pt idx="830">
                  <c:v>0.5685181073989849</c:v>
                </c:pt>
                <c:pt idx="831">
                  <c:v>0.56849893122313944</c:v>
                </c:pt>
                <c:pt idx="832">
                  <c:v>0.56847975533429285</c:v>
                </c:pt>
                <c:pt idx="833">
                  <c:v>0.56846057973245046</c:v>
                </c:pt>
                <c:pt idx="834">
                  <c:v>0.56844140441761404</c:v>
                </c:pt>
                <c:pt idx="835">
                  <c:v>0.56842222938976761</c:v>
                </c:pt>
                <c:pt idx="836">
                  <c:v>0.56840305464891649</c:v>
                </c:pt>
                <c:pt idx="837">
                  <c:v>0.56838388019505182</c:v>
                </c:pt>
                <c:pt idx="838">
                  <c:v>0.56836470602817712</c:v>
                </c:pt>
                <c:pt idx="839">
                  <c:v>0.56834553214828887</c:v>
                </c:pt>
                <c:pt idx="840">
                  <c:v>0.56832635855537816</c:v>
                </c:pt>
                <c:pt idx="841">
                  <c:v>0.56830718524944146</c:v>
                </c:pt>
                <c:pt idx="842">
                  <c:v>0.56828801223048231</c:v>
                </c:pt>
                <c:pt idx="843">
                  <c:v>0.56826883949848828</c:v>
                </c:pt>
                <c:pt idx="844">
                  <c:v>0.56824966705346824</c:v>
                </c:pt>
                <c:pt idx="845">
                  <c:v>0.56823049489540445</c:v>
                </c:pt>
                <c:pt idx="846">
                  <c:v>0.56821132302430932</c:v>
                </c:pt>
                <c:pt idx="847">
                  <c:v>0.56819215144016688</c:v>
                </c:pt>
                <c:pt idx="848">
                  <c:v>0.56817298014298245</c:v>
                </c:pt>
                <c:pt idx="849">
                  <c:v>0.56815380913274716</c:v>
                </c:pt>
                <c:pt idx="850">
                  <c:v>0.56813463840946099</c:v>
                </c:pt>
                <c:pt idx="851">
                  <c:v>0.5681154679731204</c:v>
                </c:pt>
                <c:pt idx="852">
                  <c:v>0.56809629782372184</c:v>
                </c:pt>
                <c:pt idx="853">
                  <c:v>0.56807712796125998</c:v>
                </c:pt>
                <c:pt idx="854">
                  <c:v>0.56805795838573836</c:v>
                </c:pt>
                <c:pt idx="855">
                  <c:v>0.56803878909714811</c:v>
                </c:pt>
                <c:pt idx="856">
                  <c:v>0.56801962009547857</c:v>
                </c:pt>
                <c:pt idx="857">
                  <c:v>0.56800045138074218</c:v>
                </c:pt>
                <c:pt idx="858">
                  <c:v>0.56798128295292827</c:v>
                </c:pt>
                <c:pt idx="859">
                  <c:v>0.56796211481203329</c:v>
                </c:pt>
                <c:pt idx="860">
                  <c:v>0.56794294695805903</c:v>
                </c:pt>
                <c:pt idx="861">
                  <c:v>0.56792377939099126</c:v>
                </c:pt>
                <c:pt idx="862">
                  <c:v>0.56790461211083887</c:v>
                </c:pt>
                <c:pt idx="863">
                  <c:v>0.5678854451175912</c:v>
                </c:pt>
                <c:pt idx="864">
                  <c:v>0.56786627841124648</c:v>
                </c:pt>
                <c:pt idx="865">
                  <c:v>0.5678471119917976</c:v>
                </c:pt>
                <c:pt idx="866">
                  <c:v>0.56782794585925345</c:v>
                </c:pt>
                <c:pt idx="867">
                  <c:v>0.56780878001359802</c:v>
                </c:pt>
                <c:pt idx="868">
                  <c:v>0.56778961445483489</c:v>
                </c:pt>
                <c:pt idx="869">
                  <c:v>0.56777044918296227</c:v>
                </c:pt>
                <c:pt idx="870">
                  <c:v>0.56775128419797483</c:v>
                </c:pt>
                <c:pt idx="871">
                  <c:v>0.56773211949986546</c:v>
                </c:pt>
                <c:pt idx="872">
                  <c:v>0.56771295508863595</c:v>
                </c:pt>
                <c:pt idx="873">
                  <c:v>0.56769379096427919</c:v>
                </c:pt>
                <c:pt idx="874">
                  <c:v>0.56767462712679873</c:v>
                </c:pt>
                <c:pt idx="875">
                  <c:v>0.56765546357618746</c:v>
                </c:pt>
                <c:pt idx="876">
                  <c:v>0.56763630031243295</c:v>
                </c:pt>
                <c:pt idx="877">
                  <c:v>0.56761713733554764</c:v>
                </c:pt>
                <c:pt idx="878">
                  <c:v>0.56759797464552264</c:v>
                </c:pt>
                <c:pt idx="879">
                  <c:v>0.56757881224235263</c:v>
                </c:pt>
                <c:pt idx="880">
                  <c:v>0.56755965012603227</c:v>
                </c:pt>
                <c:pt idx="881">
                  <c:v>0.56754048829655979</c:v>
                </c:pt>
                <c:pt idx="882">
                  <c:v>0.56752132675394229</c:v>
                </c:pt>
                <c:pt idx="883">
                  <c:v>0.56750216549816024</c:v>
                </c:pt>
                <c:pt idx="884">
                  <c:v>0.56748300452922251</c:v>
                </c:pt>
                <c:pt idx="885">
                  <c:v>0.56746384384712378</c:v>
                </c:pt>
                <c:pt idx="886">
                  <c:v>0.56744468345184984</c:v>
                </c:pt>
                <c:pt idx="887">
                  <c:v>0.56742552334341489</c:v>
                </c:pt>
                <c:pt idx="888">
                  <c:v>0.56740636352180829</c:v>
                </c:pt>
                <c:pt idx="889">
                  <c:v>0.56738720398702291</c:v>
                </c:pt>
                <c:pt idx="890">
                  <c:v>0.56736804473905345</c:v>
                </c:pt>
                <c:pt idx="891">
                  <c:v>0.56734888577790521</c:v>
                </c:pt>
                <c:pt idx="892">
                  <c:v>0.5673297271035711</c:v>
                </c:pt>
                <c:pt idx="893">
                  <c:v>0.56731056871605112</c:v>
                </c:pt>
                <c:pt idx="894">
                  <c:v>0.56729141061533639</c:v>
                </c:pt>
                <c:pt idx="895">
                  <c:v>0.56727225280142868</c:v>
                </c:pt>
                <c:pt idx="896">
                  <c:v>0.56725309527432266</c:v>
                </c:pt>
                <c:pt idx="897">
                  <c:v>0.56723393803401301</c:v>
                </c:pt>
                <c:pt idx="898">
                  <c:v>0.56721478108050327</c:v>
                </c:pt>
                <c:pt idx="899">
                  <c:v>0.5671956244137828</c:v>
                </c:pt>
                <c:pt idx="900">
                  <c:v>0.56717646803384625</c:v>
                </c:pt>
                <c:pt idx="901">
                  <c:v>0.56715731194070607</c:v>
                </c:pt>
                <c:pt idx="902">
                  <c:v>0.56713815613434448</c:v>
                </c:pt>
                <c:pt idx="903">
                  <c:v>0.56711900061476328</c:v>
                </c:pt>
                <c:pt idx="904">
                  <c:v>0.56709984538195535</c:v>
                </c:pt>
                <c:pt idx="905">
                  <c:v>0.56708069043591891</c:v>
                </c:pt>
                <c:pt idx="906">
                  <c:v>0.56706153577665752</c:v>
                </c:pt>
                <c:pt idx="907">
                  <c:v>0.5670423814041623</c:v>
                </c:pt>
                <c:pt idx="908">
                  <c:v>0.56702322731842614</c:v>
                </c:pt>
                <c:pt idx="909">
                  <c:v>0.56700407351945437</c:v>
                </c:pt>
                <c:pt idx="910">
                  <c:v>0.56698492000723988</c:v>
                </c:pt>
                <c:pt idx="911">
                  <c:v>0.5669657667817809</c:v>
                </c:pt>
                <c:pt idx="912">
                  <c:v>0.56694661384306855</c:v>
                </c:pt>
                <c:pt idx="913">
                  <c:v>0.56692746119110815</c:v>
                </c:pt>
                <c:pt idx="914">
                  <c:v>0.56690830882588905</c:v>
                </c:pt>
                <c:pt idx="915">
                  <c:v>0.56688915674741303</c:v>
                </c:pt>
                <c:pt idx="916">
                  <c:v>0.56687000495567652</c:v>
                </c:pt>
                <c:pt idx="917">
                  <c:v>0.56685085345067776</c:v>
                </c:pt>
                <c:pt idx="918">
                  <c:v>0.56683170223240786</c:v>
                </c:pt>
                <c:pt idx="919">
                  <c:v>0.56681255130086505</c:v>
                </c:pt>
                <c:pt idx="920">
                  <c:v>0.56679340065604578</c:v>
                </c:pt>
                <c:pt idx="921">
                  <c:v>0.56677425029795536</c:v>
                </c:pt>
                <c:pt idx="922">
                  <c:v>0.56675510022658138</c:v>
                </c:pt>
                <c:pt idx="923">
                  <c:v>0.56673595044191849</c:v>
                </c:pt>
                <c:pt idx="924">
                  <c:v>0.56671680094397381</c:v>
                </c:pt>
                <c:pt idx="925">
                  <c:v>0.56669765173273845</c:v>
                </c:pt>
                <c:pt idx="926">
                  <c:v>0.56667850280821064</c:v>
                </c:pt>
                <c:pt idx="927">
                  <c:v>0.56665935417038149</c:v>
                </c:pt>
                <c:pt idx="928">
                  <c:v>0.56664020581925456</c:v>
                </c:pt>
                <c:pt idx="929">
                  <c:v>0.5666210577548263</c:v>
                </c:pt>
                <c:pt idx="930">
                  <c:v>0.56660190997708604</c:v>
                </c:pt>
                <c:pt idx="931">
                  <c:v>0.56658276248604444</c:v>
                </c:pt>
                <c:pt idx="932">
                  <c:v>0.56656361528167842</c:v>
                </c:pt>
                <c:pt idx="933">
                  <c:v>0.56654446836400574</c:v>
                </c:pt>
                <c:pt idx="934">
                  <c:v>0.56652532173301751</c:v>
                </c:pt>
                <c:pt idx="935">
                  <c:v>0.56650617538869952</c:v>
                </c:pt>
                <c:pt idx="936">
                  <c:v>0.56648702933105888</c:v>
                </c:pt>
                <c:pt idx="937">
                  <c:v>0.5664678835600867</c:v>
                </c:pt>
                <c:pt idx="938">
                  <c:v>0.566448738075783</c:v>
                </c:pt>
                <c:pt idx="939">
                  <c:v>0.56642959287814776</c:v>
                </c:pt>
                <c:pt idx="940">
                  <c:v>0.5664104479671721</c:v>
                </c:pt>
                <c:pt idx="941">
                  <c:v>0.56639130334285248</c:v>
                </c:pt>
                <c:pt idx="942">
                  <c:v>0.56637215900519422</c:v>
                </c:pt>
                <c:pt idx="943">
                  <c:v>0.56635301495418844</c:v>
                </c:pt>
                <c:pt idx="944">
                  <c:v>0.56633387118982803</c:v>
                </c:pt>
                <c:pt idx="945">
                  <c:v>0.566314727712113</c:v>
                </c:pt>
                <c:pt idx="946">
                  <c:v>0.56629558452103979</c:v>
                </c:pt>
                <c:pt idx="947">
                  <c:v>0.56627644161660484</c:v>
                </c:pt>
                <c:pt idx="948">
                  <c:v>0.56625729899881172</c:v>
                </c:pt>
                <c:pt idx="949">
                  <c:v>0.56623815666764976</c:v>
                </c:pt>
                <c:pt idx="950">
                  <c:v>0.56621901462311719</c:v>
                </c:pt>
                <c:pt idx="951">
                  <c:v>0.56619987286521578</c:v>
                </c:pt>
                <c:pt idx="952">
                  <c:v>0.56618073139393665</c:v>
                </c:pt>
                <c:pt idx="953">
                  <c:v>0.56616159020927448</c:v>
                </c:pt>
                <c:pt idx="954">
                  <c:v>0.56614244931122926</c:v>
                </c:pt>
                <c:pt idx="955">
                  <c:v>0.56612330869979743</c:v>
                </c:pt>
                <c:pt idx="956">
                  <c:v>0.56610416837497901</c:v>
                </c:pt>
                <c:pt idx="957">
                  <c:v>0.56608502833676688</c:v>
                </c:pt>
                <c:pt idx="958">
                  <c:v>0.56606588858516282</c:v>
                </c:pt>
                <c:pt idx="959">
                  <c:v>0.56604674912015973</c:v>
                </c:pt>
                <c:pt idx="960">
                  <c:v>0.56602760994174872</c:v>
                </c:pt>
                <c:pt idx="961">
                  <c:v>0.56600847104994045</c:v>
                </c:pt>
                <c:pt idx="962">
                  <c:v>0.56598933244471539</c:v>
                </c:pt>
                <c:pt idx="963">
                  <c:v>0.5659701941260824</c:v>
                </c:pt>
                <c:pt idx="964">
                  <c:v>0.56595105609403973</c:v>
                </c:pt>
                <c:pt idx="965">
                  <c:v>0.56593191834857492</c:v>
                </c:pt>
                <c:pt idx="966">
                  <c:v>0.56591278088969155</c:v>
                </c:pt>
                <c:pt idx="967">
                  <c:v>0.56589364371739137</c:v>
                </c:pt>
                <c:pt idx="968">
                  <c:v>0.56587450683165663</c:v>
                </c:pt>
                <c:pt idx="969">
                  <c:v>0.56585537023248733</c:v>
                </c:pt>
                <c:pt idx="970">
                  <c:v>0.56583623391988169</c:v>
                </c:pt>
                <c:pt idx="971">
                  <c:v>0.56581709789384682</c:v>
                </c:pt>
                <c:pt idx="972">
                  <c:v>0.56579796215437206</c:v>
                </c:pt>
                <c:pt idx="973">
                  <c:v>0.56577882670144852</c:v>
                </c:pt>
                <c:pt idx="974">
                  <c:v>0.5657596915350851</c:v>
                </c:pt>
                <c:pt idx="975">
                  <c:v>0.56574055665526934</c:v>
                </c:pt>
                <c:pt idx="976">
                  <c:v>0.56572142206200304</c:v>
                </c:pt>
                <c:pt idx="977">
                  <c:v>0.56570228775527198</c:v>
                </c:pt>
                <c:pt idx="978">
                  <c:v>0.56568315373509215</c:v>
                </c:pt>
                <c:pt idx="979">
                  <c:v>0.56566402000144578</c:v>
                </c:pt>
                <c:pt idx="980">
                  <c:v>0.56564488655433642</c:v>
                </c:pt>
                <c:pt idx="981">
                  <c:v>0.5656257533937552</c:v>
                </c:pt>
                <c:pt idx="982">
                  <c:v>0.56560662051970922</c:v>
                </c:pt>
                <c:pt idx="983">
                  <c:v>0.56558748793217362</c:v>
                </c:pt>
                <c:pt idx="984">
                  <c:v>0.56556835563117325</c:v>
                </c:pt>
                <c:pt idx="985">
                  <c:v>0.56554922361668503</c:v>
                </c:pt>
                <c:pt idx="986">
                  <c:v>0.56553009188871428</c:v>
                </c:pt>
                <c:pt idx="987">
                  <c:v>0.56551096044725746</c:v>
                </c:pt>
                <c:pt idx="988">
                  <c:v>0.56549182929230746</c:v>
                </c:pt>
                <c:pt idx="989">
                  <c:v>0.56547269842386072</c:v>
                </c:pt>
                <c:pt idx="990">
                  <c:v>0.56545356784192435</c:v>
                </c:pt>
                <c:pt idx="991">
                  <c:v>0.56543443754648592</c:v>
                </c:pt>
                <c:pt idx="992">
                  <c:v>0.56541530753753655</c:v>
                </c:pt>
                <c:pt idx="993">
                  <c:v>0.56539617781509044</c:v>
                </c:pt>
                <c:pt idx="994">
                  <c:v>0.56537704837912628</c:v>
                </c:pt>
                <c:pt idx="995">
                  <c:v>0.56535791922965117</c:v>
                </c:pt>
                <c:pt idx="996">
                  <c:v>0.56533879036665624</c:v>
                </c:pt>
                <c:pt idx="997">
                  <c:v>0.56531966179014681</c:v>
                </c:pt>
                <c:pt idx="998">
                  <c:v>0.56530053350011045</c:v>
                </c:pt>
                <c:pt idx="999">
                  <c:v>0.56528140549655603</c:v>
                </c:pt>
                <c:pt idx="1000">
                  <c:v>0.56526227777946403</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Calculs!$AH$4:$AH$1004</c:f>
              <c:numCache>
                <c:formatCode>0.00</c:formatCode>
                <c:ptCount val="1001"/>
                <c:pt idx="0">
                  <c:v>0</c:v>
                </c:pt>
                <c:pt idx="1">
                  <c:v>2.2627778401898655</c:v>
                </c:pt>
                <c:pt idx="2">
                  <c:v>43.219051329061095</c:v>
                </c:pt>
                <c:pt idx="3">
                  <c:v>60.359688620749026</c:v>
                </c:pt>
                <c:pt idx="4">
                  <c:v>53.709167674730679</c:v>
                </c:pt>
                <c:pt idx="5">
                  <c:v>50.20563809690514</c:v>
                </c:pt>
                <c:pt idx="6">
                  <c:v>49.846127767041125</c:v>
                </c:pt>
                <c:pt idx="7">
                  <c:v>49.48692631490848</c:v>
                </c:pt>
                <c:pt idx="8">
                  <c:v>49.128041470610995</c:v>
                </c:pt>
                <c:pt idx="9">
                  <c:v>48.769480879771905</c:v>
                </c:pt>
                <c:pt idx="10">
                  <c:v>48.411252103478375</c:v>
                </c:pt>
                <c:pt idx="11">
                  <c:v>48.053362618237919</c:v>
                </c:pt>
                <c:pt idx="12">
                  <c:v>47.695819815946656</c:v>
                </c:pt>
                <c:pt idx="13">
                  <c:v>47.338631003869516</c:v>
                </c:pt>
                <c:pt idx="14">
                  <c:v>46.981803404631954</c:v>
                </c:pt>
                <c:pt idx="15">
                  <c:v>46.625344156223292</c:v>
                </c:pt>
                <c:pt idx="16">
                  <c:v>46.269260312011333</c:v>
                </c:pt>
                <c:pt idx="17">
                  <c:v>45.913558840768289</c:v>
                </c:pt>
                <c:pt idx="18">
                  <c:v>45.558246626707756</c:v>
                </c:pt>
                <c:pt idx="19">
                  <c:v>45.203330469532794</c:v>
                </c:pt>
                <c:pt idx="20">
                  <c:v>44.848817084494456</c:v>
                </c:pt>
                <c:pt idx="21">
                  <c:v>44.49471310246151</c:v>
                </c:pt>
                <c:pt idx="22">
                  <c:v>44.141025070000303</c:v>
                </c:pt>
                <c:pt idx="23">
                  <c:v>43.787759449465135</c:v>
                </c:pt>
                <c:pt idx="24">
                  <c:v>43.434922619098984</c:v>
                </c:pt>
                <c:pt idx="25">
                  <c:v>43.082520873144134</c:v>
                </c:pt>
                <c:pt idx="26">
                  <c:v>42.730560421963006</c:v>
                </c:pt>
                <c:pt idx="27">
                  <c:v>42.379047392168559</c:v>
                </c:pt>
                <c:pt idx="28">
                  <c:v>42.027987826764566</c:v>
                </c:pt>
                <c:pt idx="29">
                  <c:v>41.677387685295372</c:v>
                </c:pt>
                <c:pt idx="30">
                  <c:v>41.327252844004867</c:v>
                </c:pt>
                <c:pt idx="31">
                  <c:v>40.977589096004984</c:v>
                </c:pt>
                <c:pt idx="32">
                  <c:v>40.628402151453059</c:v>
                </c:pt>
                <c:pt idx="33">
                  <c:v>40.279697637738202</c:v>
                </c:pt>
                <c:pt idx="34">
                  <c:v>39.931481099676489</c:v>
                </c:pt>
                <c:pt idx="35">
                  <c:v>39.583757999714841</c:v>
                </c:pt>
                <c:pt idx="36">
                  <c:v>39.23653371814332</c:v>
                </c:pt>
                <c:pt idx="37">
                  <c:v>38.889813553315854</c:v>
                </c:pt>
                <c:pt idx="38">
                  <c:v>38.543602721879104</c:v>
                </c:pt>
                <c:pt idx="39">
                  <c:v>38.197906359009565</c:v>
                </c:pt>
                <c:pt idx="40">
                  <c:v>37.852729518658315</c:v>
                </c:pt>
                <c:pt idx="41">
                  <c:v>37.508077173803883</c:v>
                </c:pt>
                <c:pt idx="42">
                  <c:v>37.163954216712419</c:v>
                </c:pt>
                <c:pt idx="43">
                  <c:v>36.820365459205618</c:v>
                </c:pt>
                <c:pt idx="44">
                  <c:v>36.47731563293577</c:v>
                </c:pt>
                <c:pt idx="45">
                  <c:v>36.134809389668256</c:v>
                </c:pt>
                <c:pt idx="46">
                  <c:v>35.792851301570792</c:v>
                </c:pt>
                <c:pt idx="47">
                  <c:v>35.45144586150986</c:v>
                </c:pt>
                <c:pt idx="48">
                  <c:v>35.110597483353793</c:v>
                </c:pt>
                <c:pt idx="49">
                  <c:v>34.770310502282456</c:v>
                </c:pt>
                <c:pt idx="50">
                  <c:v>34.430589175103457</c:v>
                </c:pt>
                <c:pt idx="51">
                  <c:v>34.091437680574714</c:v>
                </c:pt>
                <c:pt idx="52">
                  <c:v>33.752860119733178</c:v>
                </c:pt>
                <c:pt idx="53">
                  <c:v>33.414860516229666</c:v>
                </c:pt>
                <c:pt idx="54">
                  <c:v>33.077442816669596</c:v>
                </c:pt>
                <c:pt idx="55">
                  <c:v>32.740610890959488</c:v>
                </c:pt>
                <c:pt idx="56">
                  <c:v>32.40436853265912</c:v>
                </c:pt>
                <c:pt idx="57">
                  <c:v>32.068719459339249</c:v>
                </c:pt>
                <c:pt idx="58">
                  <c:v>31.733667312944597</c:v>
                </c:pt>
                <c:pt idx="59">
                  <c:v>31.399215660162177</c:v>
                </c:pt>
                <c:pt idx="60">
                  <c:v>31.065367992794634</c:v>
                </c:pt>
                <c:pt idx="61">
                  <c:v>30.732127728138668</c:v>
                </c:pt>
                <c:pt idx="62">
                  <c:v>30.39949820936809</c:v>
                </c:pt>
                <c:pt idx="63">
                  <c:v>29.793843124831476</c:v>
                </c:pt>
                <c:pt idx="64">
                  <c:v>28.91563620749141</c:v>
                </c:pt>
                <c:pt idx="65">
                  <c:v>28.039151521115492</c:v>
                </c:pt>
                <c:pt idx="66">
                  <c:v>27.16440417634227</c:v>
                </c:pt>
                <c:pt idx="67">
                  <c:v>26.040546601916407</c:v>
                </c:pt>
                <c:pt idx="68">
                  <c:v>24.66805152612547</c:v>
                </c:pt>
                <c:pt idx="69">
                  <c:v>22.852200037814651</c:v>
                </c:pt>
                <c:pt idx="70">
                  <c:v>20.593881299182978</c:v>
                </c:pt>
                <c:pt idx="71">
                  <c:v>18.340420402977699</c:v>
                </c:pt>
                <c:pt idx="72">
                  <c:v>16.091895696892085</c:v>
                </c:pt>
                <c:pt idx="73">
                  <c:v>13.848382608685535</c:v>
                </c:pt>
                <c:pt idx="74">
                  <c:v>11.609953662586587</c:v>
                </c:pt>
                <c:pt idx="75">
                  <c:v>9.3766784965373375</c:v>
                </c:pt>
                <c:pt idx="76">
                  <c:v>7.1486238802475857</c:v>
                </c:pt>
                <c:pt idx="77">
                  <c:v>4.9258537340276005</c:v>
                </c:pt>
                <c:pt idx="78">
                  <c:v>2.7084291483678715</c:v>
                </c:pt>
                <c:pt idx="79">
                  <c:v>0.49640840423508997</c:v>
                </c:pt>
                <c:pt idx="80">
                  <c:v>-1.710153005946796</c:v>
                </c:pt>
                <c:pt idx="81">
                  <c:v>-3.38034339320946</c:v>
                </c:pt>
                <c:pt idx="82">
                  <c:v>-4.5154307238626883</c:v>
                </c:pt>
                <c:pt idx="83">
                  <c:v>-5.6476715710383187</c:v>
                </c:pt>
                <c:pt idx="84">
                  <c:v>-6.7770609255593222</c:v>
                </c:pt>
                <c:pt idx="85">
                  <c:v>-7.9035944577854398</c:v>
                </c:pt>
                <c:pt idx="86">
                  <c:v>-9.0272685104396579</c:v>
                </c:pt>
                <c:pt idx="87">
                  <c:v>-10.148080091412673</c:v>
                </c:pt>
                <c:pt idx="88">
                  <c:v>-11.26602686654889</c:v>
                </c:pt>
                <c:pt idx="89">
                  <c:v>-12.213368602151355</c:v>
                </c:pt>
                <c:pt idx="90">
                  <c:v>-12.990543996506968</c:v>
                </c:pt>
                <c:pt idx="91">
                  <c:v>-13.765750877334908</c:v>
                </c:pt>
                <c:pt idx="92">
                  <c:v>-14.538993218702617</c:v>
                </c:pt>
                <c:pt idx="93">
                  <c:v>-15.268333365612319</c:v>
                </c:pt>
                <c:pt idx="94">
                  <c:v>-15.953887634206319</c:v>
                </c:pt>
                <c:pt idx="95">
                  <c:v>-16.637717750883823</c:v>
                </c:pt>
                <c:pt idx="96">
                  <c:v>-17.319829063857767</c:v>
                </c:pt>
                <c:pt idx="97">
                  <c:v>-17.832441108349848</c:v>
                </c:pt>
                <c:pt idx="98">
                  <c:v>-18.176012587003889</c:v>
                </c:pt>
                <c:pt idx="99">
                  <c:v>-18.518794906699817</c:v>
                </c:pt>
                <c:pt idx="100">
                  <c:v>-18.860792673131396</c:v>
                </c:pt>
                <c:pt idx="101">
                  <c:v>-19.202010525134099</c:v>
                </c:pt>
                <c:pt idx="102">
                  <c:v>-19.542453134153838</c:v>
                </c:pt>
                <c:pt idx="103">
                  <c:v>-19.882125203722602</c:v>
                </c:pt>
                <c:pt idx="104">
                  <c:v>-20.221031468940961</c:v>
                </c:pt>
                <c:pt idx="105">
                  <c:v>-20.55917669596737</c:v>
                </c:pt>
                <c:pt idx="106">
                  <c:v>-20.896565681514307</c:v>
                </c:pt>
                <c:pt idx="107">
                  <c:v>-21.233203252351242</c:v>
                </c:pt>
                <c:pt idx="108">
                  <c:v>-21.569094264814414</c:v>
                </c:pt>
                <c:pt idx="109">
                  <c:v>-21.694487171757789</c:v>
                </c:pt>
                <c:pt idx="110">
                  <c:v>-21.609958031522133</c:v>
                </c:pt>
                <c:pt idx="111">
                  <c:v>-21.525834110350477</c:v>
                </c:pt>
                <c:pt idx="112">
                  <c:v>-21.442112844965717</c:v>
                </c:pt>
                <c:pt idx="113">
                  <c:v>-21.358791692520633</c:v>
                </c:pt>
                <c:pt idx="114">
                  <c:v>-21.27586813040233</c:v>
                </c:pt>
                <c:pt idx="115">
                  <c:v>-21.193339656038905</c:v>
                </c:pt>
                <c:pt idx="116">
                  <c:v>-21.11120378670817</c:v>
                </c:pt>
                <c:pt idx="117">
                  <c:v>-21.029458059348624</c:v>
                </c:pt>
                <c:pt idx="118">
                  <c:v>-20.948100030372412</c:v>
                </c:pt>
                <c:pt idx="119">
                  <c:v>-20.867127275480492</c:v>
                </c:pt>
                <c:pt idx="120">
                  <c:v>-20.786537389479729</c:v>
                </c:pt>
                <c:pt idx="121">
                  <c:v>-20.706327986102057</c:v>
                </c:pt>
                <c:pt idx="122">
                  <c:v>-20.626496697825708</c:v>
                </c:pt>
                <c:pt idx="123">
                  <c:v>-20.547041175698268</c:v>
                </c:pt>
                <c:pt idx="124">
                  <c:v>-20.467959089161866</c:v>
                </c:pt>
                <c:pt idx="125">
                  <c:v>-20.389248125880094</c:v>
                </c:pt>
                <c:pt idx="126">
                  <c:v>-20.310905991566976</c:v>
                </c:pt>
                <c:pt idx="127">
                  <c:v>-20.232930409817779</c:v>
                </c:pt>
                <c:pt idx="128">
                  <c:v>-20.155319121941567</c:v>
                </c:pt>
                <c:pt idx="129">
                  <c:v>-20.078069886795777</c:v>
                </c:pt>
                <c:pt idx="130">
                  <c:v>-20.001180480622416</c:v>
                </c:pt>
                <c:pt idx="131">
                  <c:v>-19.924648696886177</c:v>
                </c:pt>
                <c:pt idx="132">
                  <c:v>-19.848472346114232</c:v>
                </c:pt>
                <c:pt idx="133">
                  <c:v>-19.772649255737811</c:v>
                </c:pt>
                <c:pt idx="134">
                  <c:v>-19.697177269935477</c:v>
                </c:pt>
                <c:pt idx="135">
                  <c:v>-19.622054249478094</c:v>
                </c:pt>
                <c:pt idx="136">
                  <c:v>-19.547278071575533</c:v>
                </c:pt>
                <c:pt idx="137">
                  <c:v>-19.472846629724888</c:v>
                </c:pt>
                <c:pt idx="138">
                  <c:v>-19.398757833560534</c:v>
                </c:pt>
                <c:pt idx="139">
                  <c:v>-19.325009608705564</c:v>
                </c:pt>
                <c:pt idx="140">
                  <c:v>-19.251599896625045</c:v>
                </c:pt>
                <c:pt idx="141">
                  <c:v>-19.17852665448072</c:v>
                </c:pt>
                <c:pt idx="142">
                  <c:v>-19.105787854987245</c:v>
                </c:pt>
                <c:pt idx="143">
                  <c:v>-19.033381486270059</c:v>
                </c:pt>
                <c:pt idx="144">
                  <c:v>-18.961305551724724</c:v>
                </c:pt>
                <c:pt idx="145">
                  <c:v>-18.889558069877726</c:v>
                </c:pt>
                <c:pt idx="146">
                  <c:v>-18.818137074248831</c:v>
                </c:pt>
                <c:pt idx="147">
                  <c:v>-18.747040613214871</c:v>
                </c:pt>
                <c:pt idx="148">
                  <c:v>-18.676266749874941</c:v>
                </c:pt>
                <c:pt idx="149">
                  <c:v>-18.605813561917081</c:v>
                </c:pt>
                <c:pt idx="150">
                  <c:v>-18.53567914148633</c:v>
                </c:pt>
                <c:pt idx="151">
                  <c:v>-18.465861595054196</c:v>
                </c:pt>
                <c:pt idx="152">
                  <c:v>-18.396359043289511</c:v>
                </c:pt>
                <c:pt idx="153">
                  <c:v>-18.327169620930562</c:v>
                </c:pt>
                <c:pt idx="154">
                  <c:v>-18.258291476658719</c:v>
                </c:pt>
                <c:pt idx="155">
                  <c:v>-18.189722772973255</c:v>
                </c:pt>
                <c:pt idx="156">
                  <c:v>-18.121461686067523</c:v>
                </c:pt>
                <c:pt idx="157">
                  <c:v>-18.053506405706457</c:v>
                </c:pt>
                <c:pt idx="158">
                  <c:v>-17.985855135105318</c:v>
                </c:pt>
                <c:pt idx="159">
                  <c:v>-17.918506090809696</c:v>
                </c:pt>
                <c:pt idx="160">
                  <c:v>-17.851457502576821</c:v>
                </c:pt>
                <c:pt idx="161">
                  <c:v>-17.784707613258053</c:v>
                </c:pt>
                <c:pt idx="162">
                  <c:v>-17.718254678682595</c:v>
                </c:pt>
                <c:pt idx="163">
                  <c:v>-17.652096967542459</c:v>
                </c:pt>
                <c:pt idx="164">
                  <c:v>-17.586232761278538</c:v>
                </c:pt>
                <c:pt idx="165">
                  <c:v>-17.520660353967994</c:v>
                </c:pt>
                <c:pt idx="166">
                  <c:v>-17.455378052212641</c:v>
                </c:pt>
                <c:pt idx="167">
                  <c:v>-17.390384175028579</c:v>
                </c:pt>
                <c:pt idx="168">
                  <c:v>-17.325677053737017</c:v>
                </c:pt>
                <c:pt idx="169">
                  <c:v>-17.261255031856059</c:v>
                </c:pt>
                <c:pt idx="170">
                  <c:v>-17.197116464993744</c:v>
                </c:pt>
                <c:pt idx="171">
                  <c:v>-17.133259720742089</c:v>
                </c:pt>
                <c:pt idx="172">
                  <c:v>-17.069683178572294</c:v>
                </c:pt>
                <c:pt idx="173">
                  <c:v>-17.006385229730984</c:v>
                </c:pt>
                <c:pt idx="174">
                  <c:v>-16.943364277137455</c:v>
                </c:pt>
                <c:pt idx="175">
                  <c:v>-16.880618735282056</c:v>
                </c:pt>
                <c:pt idx="176">
                  <c:v>-16.818147030125587</c:v>
                </c:pt>
                <c:pt idx="177">
                  <c:v>-16.755947598999629</c:v>
                </c:pt>
                <c:pt idx="178">
                  <c:v>-16.694018890508037</c:v>
                </c:pt>
                <c:pt idx="179">
                  <c:v>-16.632359364429266</c:v>
                </c:pt>
                <c:pt idx="180">
                  <c:v>-16.570967491619843</c:v>
                </c:pt>
                <c:pt idx="181">
                  <c:v>-16.509841753918693</c:v>
                </c:pt>
                <c:pt idx="182">
                  <c:v>-16.448980644052472</c:v>
                </c:pt>
                <c:pt idx="183">
                  <c:v>-16.388382665541876</c:v>
                </c:pt>
                <c:pt idx="184">
                  <c:v>-16.328046332608881</c:v>
                </c:pt>
                <c:pt idx="185">
                  <c:v>-16.267970170084858</c:v>
                </c:pt>
                <c:pt idx="186">
                  <c:v>-16.208152713319709</c:v>
                </c:pt>
                <c:pt idx="187">
                  <c:v>-16.148592508091834</c:v>
                </c:pt>
                <c:pt idx="188">
                  <c:v>-16.089288110519036</c:v>
                </c:pt>
                <c:pt idx="189">
                  <c:v>-16.030238086970289</c:v>
                </c:pt>
                <c:pt idx="190">
                  <c:v>-15.971441013978398</c:v>
                </c:pt>
                <c:pt idx="191">
                  <c:v>-15.912895478153548</c:v>
                </c:pt>
                <c:pt idx="192">
                  <c:v>-15.8546000760977</c:v>
                </c:pt>
                <c:pt idx="193">
                  <c:v>-15.796553414319824</c:v>
                </c:pt>
                <c:pt idx="194">
                  <c:v>-15.738754109151927</c:v>
                </c:pt>
                <c:pt idx="195">
                  <c:v>-15.681200786666064</c:v>
                </c:pt>
                <c:pt idx="196">
                  <c:v>-15.623892082591983</c:v>
                </c:pt>
                <c:pt idx="197">
                  <c:v>-15.566826642235732</c:v>
                </c:pt>
                <c:pt idx="198">
                  <c:v>-15.51000312039897</c:v>
                </c:pt>
                <c:pt idx="199">
                  <c:v>-15.453420181299096</c:v>
                </c:pt>
                <c:pt idx="200">
                  <c:v>-15.397076498490209</c:v>
                </c:pt>
                <c:pt idx="201">
                  <c:v>-15.340970754784784</c:v>
                </c:pt>
                <c:pt idx="202">
                  <c:v>-14.787410685705956</c:v>
                </c:pt>
                <c:pt idx="203">
                  <c:v>-14.256788058725833</c:v>
                </c:pt>
                <c:pt idx="204">
                  <c:v>-13.747879329732397</c:v>
                </c:pt>
                <c:pt idx="205">
                  <c:v>-13.259542818268732</c:v>
                </c:pt>
                <c:pt idx="206">
                  <c:v>-12.790712206003708</c:v>
                </c:pt>
                <c:pt idx="207">
                  <c:v>-12.340390632284063</c:v>
                </c:pt>
                <c:pt idx="208">
                  <c:v>-11.90764532474854</c:v>
                </c:pt>
                <c:pt idx="209">
                  <c:v>-11.491602710155433</c:v>
                </c:pt>
                <c:pt idx="210">
                  <c:v>-11.091443956835011</c:v>
                </c:pt>
                <c:pt idx="211">
                  <c:v>-10.706400905652558</c:v>
                </c:pt>
                <c:pt idx="212">
                  <c:v>-10.335752351164192</c:v>
                </c:pt>
                <c:pt idx="213">
                  <c:v>-9.9788206388572949</c:v>
                </c:pt>
                <c:pt idx="214">
                  <c:v>-9.6349685480680982</c:v>
                </c:pt>
                <c:pt idx="215">
                  <c:v>-9.3035964334286785</c:v>
                </c:pt>
                <c:pt idx="216">
                  <c:v>-8.9841396005703391</c:v>
                </c:pt>
                <c:pt idx="217">
                  <c:v>-8.6760658943503532</c:v>
                </c:pt>
                <c:pt idx="218">
                  <c:v>-8.3788734801168729</c:v>
                </c:pt>
                <c:pt idx="219">
                  <c:v>-8.0920888005182121</c:v>
                </c:pt>
                <c:pt idx="220">
                  <c:v>-7.8152646921307385</c:v>
                </c:pt>
                <c:pt idx="221">
                  <c:v>-7.5479786477504467</c:v>
                </c:pt>
                <c:pt idx="222">
                  <c:v>-7.2898312115917303</c:v>
                </c:pt>
                <c:pt idx="223">
                  <c:v>-7.0404444958830066</c:v>
                </c:pt>
                <c:pt idx="224">
                  <c:v>-6.79946080846101</c:v>
                </c:pt>
                <c:pt idx="225">
                  <c:v>-6.5665413819594525</c:v>
                </c:pt>
                <c:pt idx="226">
                  <c:v>-6.3413651960769153</c:v>
                </c:pt>
                <c:pt idx="227">
                  <c:v>-6.123627885205404</c:v>
                </c:pt>
                <c:pt idx="228">
                  <c:v>-5.9130407244155885</c:v>
                </c:pt>
                <c:pt idx="229">
                  <c:v>-5.7093296874363553</c:v>
                </c:pt>
                <c:pt idx="230">
                  <c:v>-5.5122345708431313</c:v>
                </c:pt>
                <c:pt idx="231">
                  <c:v>-5.3215081791887506</c:v>
                </c:pt>
                <c:pt idx="232">
                  <c:v>-5.1369155662784776</c:v>
                </c:pt>
                <c:pt idx="233">
                  <c:v>-4.9582333282128248</c:v>
                </c:pt>
                <c:pt idx="234">
                  <c:v>-4.7852489442030137</c:v>
                </c:pt>
                <c:pt idx="235">
                  <c:v>-4.6177601615084445</c:v>
                </c:pt>
                <c:pt idx="236">
                  <c:v>-4.4555744211572286</c:v>
                </c:pt>
                <c:pt idx="237">
                  <c:v>-4.2985083213934105</c:v>
                </c:pt>
                <c:pt idx="238">
                  <c:v>-4.1463871160503825</c:v>
                </c:pt>
                <c:pt idx="239">
                  <c:v>-3.9990442452825281</c:v>
                </c:pt>
                <c:pt idx="240">
                  <c:v>-3.8563208962980866</c:v>
                </c:pt>
                <c:pt idx="241">
                  <c:v>-3.718065591928327</c:v>
                </c:pt>
                <c:pt idx="242">
                  <c:v>-3.5841338050426157</c:v>
                </c:pt>
                <c:pt idx="243">
                  <c:v>-3.4543875969781728</c:v>
                </c:pt>
                <c:pt idx="244">
                  <c:v>-3.3286952782982966</c:v>
                </c:pt>
                <c:pt idx="245">
                  <c:v>-3.206931090325122</c:v>
                </c:pt>
                <c:pt idx="246">
                  <c:v>-3.0889749060138136</c:v>
                </c:pt>
                <c:pt idx="247">
                  <c:v>-2.9747119488454516</c:v>
                </c:pt>
                <c:pt idx="248">
                  <c:v>-2.8640325285168111</c:v>
                </c:pt>
                <c:pt idx="249">
                  <c:v>-2.7568317922975938</c:v>
                </c:pt>
                <c:pt idx="250">
                  <c:v>-2.6530094910102271</c:v>
                </c:pt>
                <c:pt idx="251">
                  <c:v>-2.5524697586648193</c:v>
                </c:pt>
                <c:pt idx="252">
                  <c:v>-2.4551209048528926</c:v>
                </c:pt>
                <c:pt idx="253">
                  <c:v>-2.3608752190686508</c:v>
                </c:pt>
                <c:pt idx="254">
                  <c:v>-2.2696487861862855</c:v>
                </c:pt>
                <c:pt idx="255">
                  <c:v>-2.1813613123767115</c:v>
                </c:pt>
                <c:pt idx="256">
                  <c:v>-2.0959359607974957</c:v>
                </c:pt>
                <c:pt idx="257">
                  <c:v>-2.0132991964359408</c:v>
                </c:pt>
                <c:pt idx="258">
                  <c:v>-1.9333806395278144</c:v>
                </c:pt>
                <c:pt idx="259">
                  <c:v>-1.8561129270131835</c:v>
                </c:pt>
                <c:pt idx="260">
                  <c:v>-1.7814315815265995</c:v>
                </c:pt>
                <c:pt idx="261">
                  <c:v>-1.709274887451713</c:v>
                </c:pt>
                <c:pt idx="262">
                  <c:v>-1.6395837736004908</c:v>
                </c:pt>
                <c:pt idx="263">
                  <c:v>-1.5723017021047627</c:v>
                </c:pt>
                <c:pt idx="264">
                  <c:v>-1.5073745631329842</c:v>
                </c:pt>
                <c:pt idx="265">
                  <c:v>-1.4447505750680898</c:v>
                </c:pt>
                <c:pt idx="266">
                  <c:v>-1.3843801898031987</c:v>
                </c:pt>
                <c:pt idx="267">
                  <c:v>-1.3262160028308718</c:v>
                </c:pt>
                <c:pt idx="268">
                  <c:v>-1.2702126678187291</c:v>
                </c:pt>
                <c:pt idx="269">
                  <c:v>-1.2163268153795814</c:v>
                </c:pt>
                <c:pt idx="270">
                  <c:v>-1.1645169757579266</c:v>
                </c:pt>
                <c:pt idx="271">
                  <c:v>-1.1147435051667627</c:v>
                </c:pt>
                <c:pt idx="272">
                  <c:v>-1.0669685155192692</c:v>
                </c:pt>
                <c:pt idx="273">
                  <c:v>-1.021155807309013</c:v>
                </c:pt>
                <c:pt idx="274">
                  <c:v>-0.97727080540013067</c:v>
                </c:pt>
                <c:pt idx="275">
                  <c:v>-0.93528049749532516</c:v>
                </c:pt>
                <c:pt idx="276">
                  <c:v>-0.89515337505471804</c:v>
                </c:pt>
                <c:pt idx="277">
                  <c:v>-0.85685937644262211</c:v>
                </c:pt>
                <c:pt idx="278">
                  <c:v>-0.82036983208225522</c:v>
                </c:pt>
                <c:pt idx="279">
                  <c:v>-0.78565741140048873</c:v>
                </c:pt>
                <c:pt idx="280">
                  <c:v>-0.75269607134600691</c:v>
                </c:pt>
                <c:pt idx="281">
                  <c:v>-0.72146100626503729</c:v>
                </c:pt>
                <c:pt idx="282">
                  <c:v>-0.69192859891931002</c:v>
                </c:pt>
                <c:pt idx="283">
                  <c:v>-0.66407637243148065</c:v>
                </c:pt>
                <c:pt idx="284">
                  <c:v>-0.63788294294431813</c:v>
                </c:pt>
                <c:pt idx="285">
                  <c:v>-0.6133279727819877</c:v>
                </c:pt>
                <c:pt idx="286">
                  <c:v>-0.59039212390536677</c:v>
                </c:pt>
                <c:pt idx="287">
                  <c:v>-0.56905701145911414</c:v>
                </c:pt>
                <c:pt idx="288">
                  <c:v>-0.54930515721695106</c:v>
                </c:pt>
                <c:pt idx="289">
                  <c:v>-0.53111994274401919</c:v>
                </c:pt>
                <c:pt idx="290">
                  <c:v>-0.51448556211201468</c:v>
                </c:pt>
                <c:pt idx="291">
                  <c:v>-0.49938697402474247</c:v>
                </c:pt>
                <c:pt idx="292">
                  <c:v>-0.48580985323930981</c:v>
                </c:pt>
                <c:pt idx="293">
                  <c:v>-0.4737405412016899</c:v>
                </c:pt>
                <c:pt idx="294">
                  <c:v>-0.46316599585479179</c:v>
                </c:pt>
                <c:pt idx="295">
                  <c:v>-0.45407374062197131</c:v>
                </c:pt>
                <c:pt idx="296">
                  <c:v>-0.44645181261820094</c:v>
                </c:pt>
                <c:pt idx="297">
                  <c:v>-0.44028871019330262</c:v>
                </c:pt>
                <c:pt idx="298">
                  <c:v>-0.43557333996477432</c:v>
                </c:pt>
                <c:pt idx="299">
                  <c:v>-0.43229496354933561</c:v>
                </c:pt>
                <c:pt idx="300">
                  <c:v>-0.43044314424968427</c:v>
                </c:pt>
                <c:pt idx="301">
                  <c:v>-0.43000769399334399</c:v>
                </c:pt>
                <c:pt idx="302">
                  <c:v>-0.43097862085139443</c:v>
                </c:pt>
                <c:pt idx="303">
                  <c:v>-0.43334607748426435</c:v>
                </c:pt>
                <c:pt idx="304">
                  <c:v>-0.43710031086836243</c:v>
                </c:pt>
                <c:pt idx="305">
                  <c:v>-0.44223161365068892</c:v>
                </c:pt>
                <c:pt idx="306">
                  <c:v>-0.44873027745927413</c:v>
                </c:pt>
                <c:pt idx="307">
                  <c:v>-0.45658654846668079</c:v>
                </c:pt>
                <c:pt idx="308">
                  <c:v>-0.46579058546405222</c:v>
                </c:pt>
                <c:pt idx="309">
                  <c:v>-0.47633242065686465</c:v>
                </c:pt>
                <c:pt idx="310">
                  <c:v>-0.48820192334344736</c:v>
                </c:pt>
                <c:pt idx="311">
                  <c:v>-0.50138876658622389</c:v>
                </c:pt>
                <c:pt idx="312">
                  <c:v>-0.51588239693595972</c:v>
                </c:pt>
                <c:pt idx="313">
                  <c:v>-0.53167200722307917</c:v>
                </c:pt>
                <c:pt idx="314">
                  <c:v>-0.54874651238884287</c:v>
                </c:pt>
                <c:pt idx="315">
                  <c:v>-0.56709452829377871</c:v>
                </c:pt>
                <c:pt idx="316">
                  <c:v>-0.58670435341166915</c:v>
                </c:pt>
                <c:pt idx="317">
                  <c:v>-0.60756395329461077</c:v>
                </c:pt>
                <c:pt idx="318">
                  <c:v>-0.62966094767786684</c:v>
                </c:pt>
                <c:pt idx="319">
                  <c:v>-0.65298260008182707</c:v>
                </c:pt>
                <c:pt idx="320">
                  <c:v>-0.67751580976170145</c:v>
                </c:pt>
                <c:pt idx="321">
                  <c:v>-0.70324710585284378</c:v>
                </c:pt>
                <c:pt idx="322">
                  <c:v>-0.73016264356004512</c:v>
                </c:pt>
                <c:pt idx="323">
                  <c:v>-0.75824820224207468</c:v>
                </c:pt>
                <c:pt idx="324">
                  <c:v>-0.78748918524752387</c:v>
                </c:pt>
                <c:pt idx="325">
                  <c:v>-0.81787062136408439</c:v>
                </c:pt>
                <c:pt idx="326">
                  <c:v>-0.84937716775029726</c:v>
                </c:pt>
                <c:pt idx="327">
                  <c:v>-0.88199311422618409</c:v>
                </c:pt>
                <c:pt idx="328">
                  <c:v>-0.91570238880672328</c:v>
                </c:pt>
                <c:pt idx="329">
                  <c:v>-0.9504885643696388</c:v>
                </c:pt>
                <c:pt idx="330">
                  <c:v>-0.98633486635625822</c:v>
                </c:pt>
                <c:pt idx="331">
                  <c:v>-1.0232241814111991</c:v>
                </c:pt>
                <c:pt idx="332">
                  <c:v>-1.0611390668732172</c:v>
                </c:pt>
                <c:pt idx="333">
                  <c:v>-1.1000617610357417</c:v>
                </c:pt>
                <c:pt idx="334">
                  <c:v>-1.1399741941013311</c:v>
                </c:pt>
                <c:pt idx="335">
                  <c:v>-1.1808579997595772</c:v>
                </c:pt>
                <c:pt idx="336">
                  <c:v>-1.2226945273228398</c:v>
                </c:pt>
                <c:pt idx="337">
                  <c:v>-1.265464854358618</c:v>
                </c:pt>
                <c:pt idx="338">
                  <c:v>-1.3091497997614463</c:v>
                </c:pt>
                <c:pt idx="339">
                  <c:v>-1.3537299372108955</c:v>
                </c:pt>
                <c:pt idx="340">
                  <c:v>-1.3991856089656463</c:v>
                </c:pt>
                <c:pt idx="341">
                  <c:v>-1.4454969399466784</c:v>
                </c:pt>
                <c:pt idx="342">
                  <c:v>-1.4926438520654604</c:v>
                </c:pt>
                <c:pt idx="343">
                  <c:v>-1.540606078755602</c:v>
                </c:pt>
                <c:pt idx="344">
                  <c:v>-1.5893631796687959</c:v>
                </c:pt>
                <c:pt idx="345">
                  <c:v>-1.6388945554981065</c:v>
                </c:pt>
                <c:pt idx="346">
                  <c:v>-1.6891794628936374</c:v>
                </c:pt>
                <c:pt idx="347">
                  <c:v>-1.7401970294375388</c:v>
                </c:pt>
                <c:pt idx="348">
                  <c:v>-1.7919262686470416</c:v>
                </c:pt>
                <c:pt idx="349">
                  <c:v>-1.8443460949758719</c:v>
                </c:pt>
                <c:pt idx="350">
                  <c:v>-1.8974353387859155</c:v>
                </c:pt>
                <c:pt idx="351">
                  <c:v>-1.9511727612625183</c:v>
                </c:pt>
                <c:pt idx="352">
                  <c:v>-2.0055370692481338</c:v>
                </c:pt>
                <c:pt idx="353">
                  <c:v>-2.0605069299703964</c:v>
                </c:pt>
                <c:pt idx="354">
                  <c:v>-2.1160609856419685</c:v>
                </c:pt>
                <c:pt idx="355">
                  <c:v>-2.1721778679106802</c:v>
                </c:pt>
                <c:pt idx="356">
                  <c:v>-2.2288362121397109</c:v>
                </c:pt>
                <c:pt idx="357">
                  <c:v>-2.2860146714986609</c:v>
                </c:pt>
                <c:pt idx="358">
                  <c:v>-2.3436919308474677</c:v>
                </c:pt>
                <c:pt idx="359">
                  <c:v>-2.4018467203961946</c:v>
                </c:pt>
                <c:pt idx="360">
                  <c:v>-2.4604578291247368</c:v>
                </c:pt>
                <c:pt idx="361">
                  <c:v>-2.5195041179475632</c:v>
                </c:pt>
                <c:pt idx="362">
                  <c:v>-2.5789645326094934</c:v>
                </c:pt>
                <c:pt idx="363">
                  <c:v>-2.6388181162996043</c:v>
                </c:pt>
                <c:pt idx="364">
                  <c:v>-2.699044021971194</c:v>
                </c:pt>
                <c:pt idx="365">
                  <c:v>-2.7596215243567221</c:v>
                </c:pt>
                <c:pt idx="366">
                  <c:v>-2.8205300316675275</c:v>
                </c:pt>
                <c:pt idx="367">
                  <c:v>-2.8817490969689921</c:v>
                </c:pt>
                <c:pt idx="368">
                  <c:v>-2.9432584292227206</c:v>
                </c:pt>
                <c:pt idx="369">
                  <c:v>-3.0050379039881197</c:v>
                </c:pt>
                <c:pt idx="370">
                  <c:v>-3.067067573776582</c:v>
                </c:pt>
                <c:pt idx="371">
                  <c:v>-3.1293276780523347</c:v>
                </c:pt>
                <c:pt idx="372">
                  <c:v>-3.1917986528747186</c:v>
                </c:pt>
                <c:pt idx="373">
                  <c:v>-3.2544611401775043</c:v>
                </c:pt>
                <c:pt idx="374">
                  <c:v>-3.317295996681568</c:v>
                </c:pt>
                <c:pt idx="375">
                  <c:v>-3.3802843024379436</c:v>
                </c:pt>
                <c:pt idx="376">
                  <c:v>-3.4434073689990168</c:v>
                </c:pt>
                <c:pt idx="377">
                  <c:v>-3.5066467472163074</c:v>
                </c:pt>
                <c:pt idx="378">
                  <c:v>-3.5699842346638935</c:v>
                </c:pt>
                <c:pt idx="379">
                  <c:v>-3.6334018826872359</c:v>
                </c:pt>
                <c:pt idx="380">
                  <c:v>-3.6968820030777225</c:v>
                </c:pt>
                <c:pt idx="381">
                  <c:v>-3.7604071743738814</c:v>
                </c:pt>
                <c:pt idx="382">
                  <c:v>-3.8239602477907662</c:v>
                </c:pt>
                <c:pt idx="383">
                  <c:v>-3.8875243527795389</c:v>
                </c:pt>
                <c:pt idx="384">
                  <c:v>-3.9510829022198695</c:v>
                </c:pt>
                <c:pt idx="385">
                  <c:v>-4.0146195972481742</c:v>
                </c:pt>
                <c:pt idx="386">
                  <c:v>-4.078118431725259</c:v>
                </c:pt>
                <c:pt idx="387">
                  <c:v>-4.1415636963473776</c:v>
                </c:pt>
                <c:pt idx="388">
                  <c:v>-4.2049399824051354</c:v>
                </c:pt>
                <c:pt idx="389">
                  <c:v>-4.268232185195</c:v>
                </c:pt>
                <c:pt idx="390">
                  <c:v>-4.3314255070887544</c:v>
                </c:pt>
                <c:pt idx="391">
                  <c:v>-4.3945054602663367</c:v>
                </c:pt>
                <c:pt idx="392">
                  <c:v>-4.4574578691180449</c:v>
                </c:pt>
                <c:pt idx="393">
                  <c:v>-4.5202688723223217</c:v>
                </c:pt>
                <c:pt idx="394">
                  <c:v>-4.5829249246055603</c:v>
                </c:pt>
                <c:pt idx="395">
                  <c:v>-4.645412798190768</c:v>
                </c:pt>
                <c:pt idx="396">
                  <c:v>-4.7077195839420849</c:v>
                </c:pt>
                <c:pt idx="397">
                  <c:v>-4.7698326922123391</c:v>
                </c:pt>
                <c:pt idx="398">
                  <c:v>-4.8317398534011682</c:v>
                </c:pt>
                <c:pt idx="399">
                  <c:v>-4.8934291182312544</c:v>
                </c:pt>
                <c:pt idx="400">
                  <c:v>-4.9548888577504551</c:v>
                </c:pt>
                <c:pt idx="401">
                  <c:v>-5.0161077630677875</c:v>
                </c:pt>
                <c:pt idx="402">
                  <c:v>-5.0770748448312553</c:v>
                </c:pt>
                <c:pt idx="403">
                  <c:v>-5.1377794324556936</c:v>
                </c:pt>
                <c:pt idx="404">
                  <c:v>-5.1982111731088398</c:v>
                </c:pt>
                <c:pt idx="405">
                  <c:v>-5.2583600304638951</c:v>
                </c:pt>
                <c:pt idx="406">
                  <c:v>-5.3182162832269819</c:v>
                </c:pt>
                <c:pt idx="407">
                  <c:v>-5.3777705234477811</c:v>
                </c:pt>
                <c:pt idx="408">
                  <c:v>-5.4370136546218069</c:v>
                </c:pt>
                <c:pt idx="409">
                  <c:v>-5.4959368895926595</c:v>
                </c:pt>
                <c:pt idx="410">
                  <c:v>-5.5545317482626704</c:v>
                </c:pt>
                <c:pt idx="411">
                  <c:v>-5.6127900551202616</c:v>
                </c:pt>
                <c:pt idx="412">
                  <c:v>-5.6707039365923206</c:v>
                </c:pt>
                <c:pt idx="413">
                  <c:v>-5.7282658182298878</c:v>
                </c:pt>
                <c:pt idx="414">
                  <c:v>-5.785468421735307</c:v>
                </c:pt>
                <c:pt idx="415">
                  <c:v>-5.8423047618389683</c:v>
                </c:pt>
                <c:pt idx="416">
                  <c:v>-5.8987681430336751</c:v>
                </c:pt>
                <c:pt idx="417">
                  <c:v>-5.9548521561745797</c:v>
                </c:pt>
                <c:pt idx="418">
                  <c:v>-6.0105506749524888</c:v>
                </c:pt>
                <c:pt idx="419">
                  <c:v>-6.0658578522482598</c:v>
                </c:pt>
                <c:pt idx="420">
                  <c:v>-6.1207681163759098</c:v>
                </c:pt>
                <c:pt idx="421">
                  <c:v>-6.1752761672218419</c:v>
                </c:pt>
                <c:pt idx="422">
                  <c:v>-6.2293769722875689</c:v>
                </c:pt>
                <c:pt idx="423">
                  <c:v>-6.2830657626430613</c:v>
                </c:pt>
                <c:pt idx="424">
                  <c:v>-6.3363380287977984</c:v>
                </c:pt>
                <c:pt idx="425">
                  <c:v>-6.3891895164963861</c:v>
                </c:pt>
                <c:pt idx="426">
                  <c:v>-6.441616222445421</c:v>
                </c:pt>
                <c:pt idx="427">
                  <c:v>-6.4936143899782204</c:v>
                </c:pt>
                <c:pt idx="428">
                  <c:v>-6.5451805046637501</c:v>
                </c:pt>
                <c:pt idx="429">
                  <c:v>-6.5963112898660095</c:v>
                </c:pt>
                <c:pt idx="430">
                  <c:v>-6.6470037022599149</c:v>
                </c:pt>
                <c:pt idx="431">
                  <c:v>-6.6972549273094932</c:v>
                </c:pt>
                <c:pt idx="432">
                  <c:v>-6.7470623747141998</c:v>
                </c:pt>
                <c:pt idx="433">
                  <c:v>-6.7964236738287456</c:v>
                </c:pt>
                <c:pt idx="434">
                  <c:v>-6.8453366690618749</c:v>
                </c:pt>
                <c:pt idx="435">
                  <c:v>-6.8937994152591964</c:v>
                </c:pt>
                <c:pt idx="436">
                  <c:v>-6.9418101730750612</c:v>
                </c:pt>
                <c:pt idx="437">
                  <c:v>-6.9893674043382985</c:v>
                </c:pt>
                <c:pt idx="438">
                  <c:v>-7.0364697674164161</c:v>
                </c:pt>
                <c:pt idx="439">
                  <c:v>-7.0831161125827071</c:v>
                </c:pt>
                <c:pt idx="440">
                  <c:v>-7.1293054773905364</c:v>
                </c:pt>
                <c:pt idx="441">
                  <c:v>-7.1750370820588962</c:v>
                </c:pt>
                <c:pt idx="442">
                  <c:v>-7.2203103248731502</c:v>
                </c:pt>
                <c:pt idx="443">
                  <c:v>-7.2651247776046519</c:v>
                </c:pt>
                <c:pt idx="444">
                  <c:v>-7.3094801809529173</c:v>
                </c:pt>
                <c:pt idx="445">
                  <c:v>-7.3533764400136628</c:v>
                </c:pt>
                <c:pt idx="446">
                  <c:v>-7.3968136197759584</c:v>
                </c:pt>
                <c:pt idx="447">
                  <c:v>-7.4397919406516024</c:v>
                </c:pt>
                <c:pt idx="448">
                  <c:v>-7.4823117740396183</c:v>
                </c:pt>
                <c:pt idx="449">
                  <c:v>-7.5243736379286243</c:v>
                </c:pt>
                <c:pt idx="450">
                  <c:v>-7.5659781925396512</c:v>
                </c:pt>
                <c:pt idx="451">
                  <c:v>-7.6071262360118963</c:v>
                </c:pt>
                <c:pt idx="452">
                  <c:v>-7.647818700133711</c:v>
                </c:pt>
                <c:pt idx="453">
                  <c:v>-7.6880566461209581</c:v>
                </c:pt>
                <c:pt idx="454">
                  <c:v>-7.7278412604447446</c:v>
                </c:pt>
                <c:pt idx="455">
                  <c:v>-7.767173850710436</c:v>
                </c:pt>
                <c:pt idx="456">
                  <c:v>-7.8060558415897177</c:v>
                </c:pt>
                <c:pt idx="457">
                  <c:v>-7.8444887708072013</c:v>
                </c:pt>
                <c:pt idx="458">
                  <c:v>-7.8824742851832301</c:v>
                </c:pt>
                <c:pt idx="459">
                  <c:v>-7.9200141367340864</c:v>
                </c:pt>
                <c:pt idx="460">
                  <c:v>-7.9571101788309528</c:v>
                </c:pt>
                <c:pt idx="461">
                  <c:v>-7.9937643624187116</c:v>
                </c:pt>
                <c:pt idx="462">
                  <c:v>-8.0299787322955734</c:v>
                </c:pt>
                <c:pt idx="463">
                  <c:v>-8.0657554234545152</c:v>
                </c:pt>
                <c:pt idx="464">
                  <c:v>-8.1010966574872416</c:v>
                </c:pt>
                <c:pt idx="465">
                  <c:v>-8.1360047390514332</c:v>
                </c:pt>
                <c:pt idx="466">
                  <c:v>-8.1704820524018835</c:v>
                </c:pt>
                <c:pt idx="467">
                  <c:v>-8.2045310579859798</c:v>
                </c:pt>
                <c:pt idx="468">
                  <c:v>-8.2381542891040418</c:v>
                </c:pt>
                <c:pt idx="469">
                  <c:v>-8.2713543486347572</c:v>
                </c:pt>
                <c:pt idx="470">
                  <c:v>-8.3041339058260206</c:v>
                </c:pt>
                <c:pt idx="471">
                  <c:v>-8.3364956931513774</c:v>
                </c:pt>
                <c:pt idx="472">
                  <c:v>-8.3684425032320817</c:v>
                </c:pt>
                <c:pt idx="473">
                  <c:v>-8.3999771858248664</c:v>
                </c:pt>
                <c:pt idx="474">
                  <c:v>-8.4311026448754056</c:v>
                </c:pt>
                <c:pt idx="475">
                  <c:v>-8.4618218356372275</c:v>
                </c:pt>
                <c:pt idx="476">
                  <c:v>-8.4921377618560872</c:v>
                </c:pt>
                <c:pt idx="477">
                  <c:v>-8.5220534730194153</c:v>
                </c:pt>
                <c:pt idx="478">
                  <c:v>-8.551572061670651</c:v>
                </c:pt>
                <c:pt idx="479">
                  <c:v>-8.580696660788087</c:v>
                </c:pt>
                <c:pt idx="480">
                  <c:v>-8.6094304412278113</c:v>
                </c:pt>
                <c:pt idx="481">
                  <c:v>-8.6377766092303752</c:v>
                </c:pt>
                <c:pt idx="482">
                  <c:v>-8.665738403990586</c:v>
                </c:pt>
                <c:pt idx="483">
                  <c:v>-8.6933190952901018</c:v>
                </c:pt>
                <c:pt idx="484">
                  <c:v>-8.7205219811919914</c:v>
                </c:pt>
                <c:pt idx="485">
                  <c:v>-8.7473503857969135</c:v>
                </c:pt>
                <c:pt idx="486">
                  <c:v>-8.7738076570601571</c:v>
                </c:pt>
                <c:pt idx="487">
                  <c:v>-8.7998971646688275</c:v>
                </c:pt>
                <c:pt idx="488">
                  <c:v>-8.8256222979786081</c:v>
                </c:pt>
                <c:pt idx="489">
                  <c:v>-8.8509864640092921</c:v>
                </c:pt>
                <c:pt idx="490">
                  <c:v>-8.8759930854983438</c:v>
                </c:pt>
                <c:pt idx="491">
                  <c:v>-8.9006455990117441</c:v>
                </c:pt>
                <c:pt idx="492">
                  <c:v>-8.9249474531112742</c:v>
                </c:pt>
                <c:pt idx="493">
                  <c:v>-8.9489021065774796</c:v>
                </c:pt>
                <c:pt idx="494">
                  <c:v>-8.9725130266874746</c:v>
                </c:pt>
                <c:pt idx="495">
                  <c:v>-8.995783687546675</c:v>
                </c:pt>
                <c:pt idx="496">
                  <c:v>-9.0187175684737309</c:v>
                </c:pt>
                <c:pt idx="497">
                  <c:v>-9.041318152437622</c:v>
                </c:pt>
                <c:pt idx="498">
                  <c:v>-9.0635889245461723</c:v>
                </c:pt>
                <c:pt idx="499">
                  <c:v>-9.0855333705850292</c:v>
                </c:pt>
                <c:pt idx="500">
                  <c:v>-9.1071549756061945</c:v>
                </c:pt>
                <c:pt idx="501">
                  <c:v>-9.1284572225652347</c:v>
                </c:pt>
                <c:pt idx="502">
                  <c:v>-9.1494435910062641</c:v>
                </c:pt>
                <c:pt idx="503">
                  <c:v>-9.1701175557937145</c:v>
                </c:pt>
                <c:pt idx="504">
                  <c:v>-9.1904825858901056</c:v>
                </c:pt>
                <c:pt idx="505">
                  <c:v>-9.2105421431787438</c:v>
                </c:pt>
                <c:pt idx="506">
                  <c:v>-9.2105618754240304</c:v>
                </c:pt>
                <c:pt idx="507">
                  <c:v>-9.2105816073723652</c:v>
                </c:pt>
                <c:pt idx="508">
                  <c:v>-9.2106013390237607</c:v>
                </c:pt>
                <c:pt idx="509">
                  <c:v>-9.2106210703782097</c:v>
                </c:pt>
                <c:pt idx="510">
                  <c:v>-9.2106408014357175</c:v>
                </c:pt>
                <c:pt idx="511">
                  <c:v>-9.2106605321962842</c:v>
                </c:pt>
                <c:pt idx="512">
                  <c:v>-9.2106802626599187</c:v>
                </c:pt>
                <c:pt idx="513">
                  <c:v>-9.2106999928266227</c:v>
                </c:pt>
                <c:pt idx="514">
                  <c:v>-9.2107197226964015</c:v>
                </c:pt>
                <c:pt idx="515">
                  <c:v>-9.2107394522692516</c:v>
                </c:pt>
                <c:pt idx="516">
                  <c:v>-9.2107591815451819</c:v>
                </c:pt>
                <c:pt idx="517">
                  <c:v>-9.2107789105241977</c:v>
                </c:pt>
                <c:pt idx="518">
                  <c:v>-9.2107986392062973</c:v>
                </c:pt>
                <c:pt idx="519">
                  <c:v>-9.2108183675914859</c:v>
                </c:pt>
                <c:pt idx="520">
                  <c:v>-9.2108380956797689</c:v>
                </c:pt>
                <c:pt idx="521">
                  <c:v>-9.2108578234711409</c:v>
                </c:pt>
                <c:pt idx="522">
                  <c:v>-9.2108775509656216</c:v>
                </c:pt>
                <c:pt idx="523">
                  <c:v>-9.2108972781632001</c:v>
                </c:pt>
                <c:pt idx="524">
                  <c:v>-9.2109170050638873</c:v>
                </c:pt>
                <c:pt idx="525">
                  <c:v>-9.2109367316676831</c:v>
                </c:pt>
                <c:pt idx="526">
                  <c:v>-9.2109564579745928</c:v>
                </c:pt>
                <c:pt idx="527">
                  <c:v>-9.2109761839846165</c:v>
                </c:pt>
                <c:pt idx="528">
                  <c:v>-9.2109959096977612</c:v>
                </c:pt>
                <c:pt idx="529">
                  <c:v>-9.2110156351140269</c:v>
                </c:pt>
                <c:pt idx="530">
                  <c:v>-9.2110353602334207</c:v>
                </c:pt>
                <c:pt idx="531">
                  <c:v>-9.2110550850559463</c:v>
                </c:pt>
                <c:pt idx="532">
                  <c:v>-9.2110748095816017</c:v>
                </c:pt>
                <c:pt idx="533">
                  <c:v>-9.211094533810396</c:v>
                </c:pt>
                <c:pt idx="534">
                  <c:v>-9.2111142577423291</c:v>
                </c:pt>
                <c:pt idx="535">
                  <c:v>-9.2111339813774045</c:v>
                </c:pt>
                <c:pt idx="536">
                  <c:v>-9.2111537047156293</c:v>
                </c:pt>
                <c:pt idx="537">
                  <c:v>-9.2111734277570001</c:v>
                </c:pt>
                <c:pt idx="538">
                  <c:v>-9.2111931505015257</c:v>
                </c:pt>
                <c:pt idx="539">
                  <c:v>-9.2112128729492078</c:v>
                </c:pt>
                <c:pt idx="540">
                  <c:v>-9.2112325951000553</c:v>
                </c:pt>
                <c:pt idx="541">
                  <c:v>-9.2112523169540594</c:v>
                </c:pt>
                <c:pt idx="542">
                  <c:v>-9.2112720385112326</c:v>
                </c:pt>
                <c:pt idx="543">
                  <c:v>-9.2112917597715782</c:v>
                </c:pt>
                <c:pt idx="544">
                  <c:v>-9.2113114807350929</c:v>
                </c:pt>
                <c:pt idx="545">
                  <c:v>-9.2113312014017854</c:v>
                </c:pt>
                <c:pt idx="546">
                  <c:v>-9.2113509217716594</c:v>
                </c:pt>
                <c:pt idx="547">
                  <c:v>-9.2113706418447165</c:v>
                </c:pt>
                <c:pt idx="548">
                  <c:v>-9.2113903616209605</c:v>
                </c:pt>
                <c:pt idx="549">
                  <c:v>-9.2114100811003965</c:v>
                </c:pt>
                <c:pt idx="550">
                  <c:v>-9.2114298002830246</c:v>
                </c:pt>
                <c:pt idx="551">
                  <c:v>-9.2114495191688484</c:v>
                </c:pt>
                <c:pt idx="552">
                  <c:v>-9.2114692377578766</c:v>
                </c:pt>
                <c:pt idx="553">
                  <c:v>-9.2114889560501076</c:v>
                </c:pt>
                <c:pt idx="554">
                  <c:v>-9.211508674045545</c:v>
                </c:pt>
                <c:pt idx="555">
                  <c:v>-9.2115283917441939</c:v>
                </c:pt>
                <c:pt idx="556">
                  <c:v>-9.2115481091460563</c:v>
                </c:pt>
                <c:pt idx="557">
                  <c:v>-9.2115678262511356</c:v>
                </c:pt>
                <c:pt idx="558">
                  <c:v>-9.2115875430594354</c:v>
                </c:pt>
                <c:pt idx="559">
                  <c:v>-9.2116072595709575</c:v>
                </c:pt>
                <c:pt idx="560">
                  <c:v>-9.2116269757857143</c:v>
                </c:pt>
                <c:pt idx="561">
                  <c:v>-9.2116466917036917</c:v>
                </c:pt>
                <c:pt idx="562">
                  <c:v>-9.2116664073249108</c:v>
                </c:pt>
                <c:pt idx="563">
                  <c:v>-9.2116861226493629</c:v>
                </c:pt>
                <c:pt idx="564">
                  <c:v>-9.2117058376770586</c:v>
                </c:pt>
                <c:pt idx="565">
                  <c:v>-9.2117255524079962</c:v>
                </c:pt>
                <c:pt idx="566">
                  <c:v>-9.2117452668421809</c:v>
                </c:pt>
                <c:pt idx="567">
                  <c:v>-9.2117649809796216</c:v>
                </c:pt>
                <c:pt idx="568">
                  <c:v>-9.2117846948203148</c:v>
                </c:pt>
                <c:pt idx="569">
                  <c:v>-9.2118044083642676</c:v>
                </c:pt>
                <c:pt idx="570">
                  <c:v>-9.2118241216114747</c:v>
                </c:pt>
                <c:pt idx="571">
                  <c:v>-9.2118438345619502</c:v>
                </c:pt>
                <c:pt idx="572">
                  <c:v>-9.2118635472156924</c:v>
                </c:pt>
                <c:pt idx="573">
                  <c:v>-9.2118832595727085</c:v>
                </c:pt>
                <c:pt idx="574">
                  <c:v>-9.2119029716330036</c:v>
                </c:pt>
                <c:pt idx="575">
                  <c:v>-9.2119226833965673</c:v>
                </c:pt>
                <c:pt idx="576">
                  <c:v>-9.2119423948634189</c:v>
                </c:pt>
                <c:pt idx="577">
                  <c:v>-9.2119621060335515</c:v>
                </c:pt>
                <c:pt idx="578">
                  <c:v>-9.211981816906972</c:v>
                </c:pt>
                <c:pt idx="579">
                  <c:v>-9.2120015274836842</c:v>
                </c:pt>
                <c:pt idx="580">
                  <c:v>-9.2120212377636914</c:v>
                </c:pt>
                <c:pt idx="581">
                  <c:v>-9.2120409477469991</c:v>
                </c:pt>
                <c:pt idx="582">
                  <c:v>-9.2120606574336055</c:v>
                </c:pt>
                <c:pt idx="583">
                  <c:v>-9.2120803668235194</c:v>
                </c:pt>
                <c:pt idx="584">
                  <c:v>-9.2121000759167408</c:v>
                </c:pt>
                <c:pt idx="585">
                  <c:v>-9.2121197847132699</c:v>
                </c:pt>
                <c:pt idx="586">
                  <c:v>-9.2121394932131224</c:v>
                </c:pt>
                <c:pt idx="587">
                  <c:v>-9.2121592014162879</c:v>
                </c:pt>
                <c:pt idx="588">
                  <c:v>-9.2121789093227768</c:v>
                </c:pt>
                <c:pt idx="589">
                  <c:v>-9.2121986169325876</c:v>
                </c:pt>
                <c:pt idx="590">
                  <c:v>-9.2122183242457307</c:v>
                </c:pt>
                <c:pt idx="591">
                  <c:v>-9.2122380312622063</c:v>
                </c:pt>
                <c:pt idx="592">
                  <c:v>-9.2122577379820143</c:v>
                </c:pt>
                <c:pt idx="593">
                  <c:v>-9.2122774444051583</c:v>
                </c:pt>
                <c:pt idx="594">
                  <c:v>-9.2122971505316489</c:v>
                </c:pt>
                <c:pt idx="595">
                  <c:v>-9.2123168563614826</c:v>
                </c:pt>
                <c:pt idx="596">
                  <c:v>-9.2123365618946664</c:v>
                </c:pt>
                <c:pt idx="597">
                  <c:v>-9.2123562671311969</c:v>
                </c:pt>
                <c:pt idx="598">
                  <c:v>-9.2123759720710936</c:v>
                </c:pt>
                <c:pt idx="599">
                  <c:v>-9.2123956767143458</c:v>
                </c:pt>
                <c:pt idx="600">
                  <c:v>-9.212415381060957</c:v>
                </c:pt>
                <c:pt idx="601">
                  <c:v>-9.2124350851109291</c:v>
                </c:pt>
                <c:pt idx="602">
                  <c:v>-9.2124547888642727</c:v>
                </c:pt>
                <c:pt idx="603">
                  <c:v>-9.2124744923209931</c:v>
                </c:pt>
                <c:pt idx="604">
                  <c:v>-9.2124941954810904</c:v>
                </c:pt>
                <c:pt idx="605">
                  <c:v>-9.2125138983445645</c:v>
                </c:pt>
                <c:pt idx="606">
                  <c:v>-9.2125336009114172</c:v>
                </c:pt>
                <c:pt idx="607">
                  <c:v>-9.2125533031816644</c:v>
                </c:pt>
                <c:pt idx="608">
                  <c:v>-9.2125730051552921</c:v>
                </c:pt>
                <c:pt idx="609">
                  <c:v>-9.2125927068323179</c:v>
                </c:pt>
                <c:pt idx="610">
                  <c:v>-9.2126124082127347</c:v>
                </c:pt>
                <c:pt idx="611">
                  <c:v>-9.2126321092965568</c:v>
                </c:pt>
                <c:pt idx="612">
                  <c:v>-9.2126518100837753</c:v>
                </c:pt>
                <c:pt idx="613">
                  <c:v>-9.2126715105744026</c:v>
                </c:pt>
                <c:pt idx="614">
                  <c:v>-9.2126912107684387</c:v>
                </c:pt>
                <c:pt idx="615">
                  <c:v>-9.2127109106658907</c:v>
                </c:pt>
                <c:pt idx="616">
                  <c:v>-9.2127306102667532</c:v>
                </c:pt>
                <c:pt idx="617">
                  <c:v>-9.2127503095710388</c:v>
                </c:pt>
                <c:pt idx="618">
                  <c:v>-9.2127700085787421</c:v>
                </c:pt>
                <c:pt idx="619">
                  <c:v>-9.212789707289879</c:v>
                </c:pt>
                <c:pt idx="620">
                  <c:v>-9.2128094057044407</c:v>
                </c:pt>
                <c:pt idx="621">
                  <c:v>-9.2128291038224361</c:v>
                </c:pt>
                <c:pt idx="622">
                  <c:v>-9.212848801643867</c:v>
                </c:pt>
                <c:pt idx="623">
                  <c:v>-9.2128684991687386</c:v>
                </c:pt>
                <c:pt idx="624">
                  <c:v>-9.2128881963970581</c:v>
                </c:pt>
                <c:pt idx="625">
                  <c:v>-9.2129078933288184</c:v>
                </c:pt>
                <c:pt idx="626">
                  <c:v>-9.2129275899640248</c:v>
                </c:pt>
                <c:pt idx="627">
                  <c:v>-9.212947286302688</c:v>
                </c:pt>
                <c:pt idx="628">
                  <c:v>-9.2129669823448133</c:v>
                </c:pt>
                <c:pt idx="629">
                  <c:v>-9.2129866780903935</c:v>
                </c:pt>
                <c:pt idx="630">
                  <c:v>-9.2130063735394394</c:v>
                </c:pt>
                <c:pt idx="631">
                  <c:v>-9.213026068691951</c:v>
                </c:pt>
                <c:pt idx="632">
                  <c:v>-9.2130457635479299</c:v>
                </c:pt>
                <c:pt idx="633">
                  <c:v>-9.2130654581073852</c:v>
                </c:pt>
                <c:pt idx="634">
                  <c:v>-9.2130851523703168</c:v>
                </c:pt>
                <c:pt idx="635">
                  <c:v>-9.2131048463367264</c:v>
                </c:pt>
                <c:pt idx="636">
                  <c:v>-9.2131245400066213</c:v>
                </c:pt>
                <c:pt idx="637">
                  <c:v>-9.2131442333799995</c:v>
                </c:pt>
                <c:pt idx="638">
                  <c:v>-9.2131639264568683</c:v>
                </c:pt>
                <c:pt idx="639">
                  <c:v>-9.2131836192372401</c:v>
                </c:pt>
                <c:pt idx="640">
                  <c:v>-9.2132033117210952</c:v>
                </c:pt>
                <c:pt idx="641">
                  <c:v>-9.2132230039084604</c:v>
                </c:pt>
                <c:pt idx="642">
                  <c:v>-9.2132426957993214</c:v>
                </c:pt>
                <c:pt idx="643">
                  <c:v>-9.2132623873936978</c:v>
                </c:pt>
                <c:pt idx="644">
                  <c:v>-9.213282078691579</c:v>
                </c:pt>
                <c:pt idx="645">
                  <c:v>-9.2133017696929738</c:v>
                </c:pt>
                <c:pt idx="646">
                  <c:v>-9.2133214603978892</c:v>
                </c:pt>
                <c:pt idx="647">
                  <c:v>-9.2133411508063237</c:v>
                </c:pt>
                <c:pt idx="648">
                  <c:v>-9.2133608409182823</c:v>
                </c:pt>
                <c:pt idx="649">
                  <c:v>-9.2133805307337653</c:v>
                </c:pt>
                <c:pt idx="650">
                  <c:v>-9.2134002202527849</c:v>
                </c:pt>
                <c:pt idx="651">
                  <c:v>-9.2134199094753324</c:v>
                </c:pt>
                <c:pt idx="652">
                  <c:v>-9.2134395984014219</c:v>
                </c:pt>
                <c:pt idx="653">
                  <c:v>-9.2134592870310499</c:v>
                </c:pt>
                <c:pt idx="654">
                  <c:v>-9.2134789753642163</c:v>
                </c:pt>
                <c:pt idx="655">
                  <c:v>-9.213498663400939</c:v>
                </c:pt>
                <c:pt idx="656">
                  <c:v>-9.2135183511412091</c:v>
                </c:pt>
                <c:pt idx="657">
                  <c:v>-9.2135380385850318</c:v>
                </c:pt>
                <c:pt idx="658">
                  <c:v>-9.2135577257324126</c:v>
                </c:pt>
                <c:pt idx="659">
                  <c:v>-9.2135774125833603</c:v>
                </c:pt>
                <c:pt idx="660">
                  <c:v>-9.2135970991378642</c:v>
                </c:pt>
                <c:pt idx="661">
                  <c:v>-9.2136167853959403</c:v>
                </c:pt>
                <c:pt idx="662">
                  <c:v>-9.2136364713575869</c:v>
                </c:pt>
                <c:pt idx="663">
                  <c:v>-9.2136561570228093</c:v>
                </c:pt>
                <c:pt idx="664">
                  <c:v>-9.2136758423916074</c:v>
                </c:pt>
                <c:pt idx="665">
                  <c:v>-9.2136955274639867</c:v>
                </c:pt>
                <c:pt idx="666">
                  <c:v>-9.2137152122399524</c:v>
                </c:pt>
                <c:pt idx="667">
                  <c:v>-9.2137348967195027</c:v>
                </c:pt>
                <c:pt idx="668">
                  <c:v>-9.2137545809026449</c:v>
                </c:pt>
                <c:pt idx="669">
                  <c:v>-9.2137742647893823</c:v>
                </c:pt>
                <c:pt idx="670">
                  <c:v>-9.2137939483797204</c:v>
                </c:pt>
                <c:pt idx="671">
                  <c:v>-9.2138136316736574</c:v>
                </c:pt>
                <c:pt idx="672">
                  <c:v>-9.2138333146711968</c:v>
                </c:pt>
                <c:pt idx="673">
                  <c:v>-9.213852997372344</c:v>
                </c:pt>
                <c:pt idx="674">
                  <c:v>-9.2138726797771042</c:v>
                </c:pt>
                <c:pt idx="675">
                  <c:v>-9.2138923618854847</c:v>
                </c:pt>
                <c:pt idx="676">
                  <c:v>-9.2139120436974746</c:v>
                </c:pt>
                <c:pt idx="677">
                  <c:v>-9.2139317252130919</c:v>
                </c:pt>
                <c:pt idx="678">
                  <c:v>-9.2139514064323311</c:v>
                </c:pt>
                <c:pt idx="679">
                  <c:v>-9.2139710873552012</c:v>
                </c:pt>
                <c:pt idx="680">
                  <c:v>-9.2139907679817021</c:v>
                </c:pt>
                <c:pt idx="681">
                  <c:v>-9.2140104483118357</c:v>
                </c:pt>
                <c:pt idx="682">
                  <c:v>-9.214030128345609</c:v>
                </c:pt>
                <c:pt idx="683">
                  <c:v>-9.2140498080830255</c:v>
                </c:pt>
                <c:pt idx="684">
                  <c:v>-9.2140694875240836</c:v>
                </c:pt>
                <c:pt idx="685">
                  <c:v>-9.2140891666687921</c:v>
                </c:pt>
                <c:pt idx="686">
                  <c:v>-9.2141088455171527</c:v>
                </c:pt>
                <c:pt idx="687">
                  <c:v>-9.2141285240691708</c:v>
                </c:pt>
                <c:pt idx="688">
                  <c:v>-9.2141482023248464</c:v>
                </c:pt>
                <c:pt idx="689">
                  <c:v>-9.2141678802841813</c:v>
                </c:pt>
                <c:pt idx="690">
                  <c:v>-9.2141875579471844</c:v>
                </c:pt>
                <c:pt idx="691">
                  <c:v>-9.2142072353138538</c:v>
                </c:pt>
                <c:pt idx="692">
                  <c:v>-9.2142269123841949</c:v>
                </c:pt>
                <c:pt idx="693">
                  <c:v>-9.2142465891582148</c:v>
                </c:pt>
                <c:pt idx="694">
                  <c:v>-9.2142662656359082</c:v>
                </c:pt>
                <c:pt idx="695">
                  <c:v>-9.2142859418172876</c:v>
                </c:pt>
                <c:pt idx="696">
                  <c:v>-9.2143056177023546</c:v>
                </c:pt>
                <c:pt idx="697">
                  <c:v>-9.2143252932911093</c:v>
                </c:pt>
                <c:pt idx="698">
                  <c:v>-9.2143449685835517</c:v>
                </c:pt>
                <c:pt idx="699">
                  <c:v>-9.2143646435796942</c:v>
                </c:pt>
                <c:pt idx="700">
                  <c:v>-9.2143843182795333</c:v>
                </c:pt>
                <c:pt idx="701">
                  <c:v>-9.2144039926830743</c:v>
                </c:pt>
                <c:pt idx="702">
                  <c:v>-9.2144236667903208</c:v>
                </c:pt>
                <c:pt idx="703">
                  <c:v>-9.2144433406012798</c:v>
                </c:pt>
                <c:pt idx="704">
                  <c:v>-9.2144630141159496</c:v>
                </c:pt>
                <c:pt idx="705">
                  <c:v>-9.2144826873343337</c:v>
                </c:pt>
                <c:pt idx="706">
                  <c:v>-9.2145023602564358</c:v>
                </c:pt>
                <c:pt idx="707">
                  <c:v>-9.2145220328822646</c:v>
                </c:pt>
                <c:pt idx="708">
                  <c:v>-9.2145417052118166</c:v>
                </c:pt>
                <c:pt idx="709">
                  <c:v>-9.2145613772450972</c:v>
                </c:pt>
                <c:pt idx="710">
                  <c:v>-9.2145810489821116</c:v>
                </c:pt>
                <c:pt idx="711">
                  <c:v>-9.2146007204228617</c:v>
                </c:pt>
                <c:pt idx="712">
                  <c:v>-9.2146203915673528</c:v>
                </c:pt>
                <c:pt idx="713">
                  <c:v>-9.2146400624155849</c:v>
                </c:pt>
                <c:pt idx="714">
                  <c:v>-9.2146597329675615</c:v>
                </c:pt>
                <c:pt idx="715">
                  <c:v>-9.2146794032232879</c:v>
                </c:pt>
                <c:pt idx="716">
                  <c:v>-9.2146990731827749</c:v>
                </c:pt>
                <c:pt idx="717">
                  <c:v>-9.2147187428460082</c:v>
                </c:pt>
                <c:pt idx="718">
                  <c:v>-9.2147384122130074</c:v>
                </c:pt>
                <c:pt idx="719">
                  <c:v>-9.2147580812837635</c:v>
                </c:pt>
                <c:pt idx="720">
                  <c:v>-9.2147777500582961</c:v>
                </c:pt>
                <c:pt idx="721">
                  <c:v>-9.2147974185365893</c:v>
                </c:pt>
                <c:pt idx="722">
                  <c:v>-9.2148170867186607</c:v>
                </c:pt>
                <c:pt idx="723">
                  <c:v>-9.2148367546045034</c:v>
                </c:pt>
                <c:pt idx="724">
                  <c:v>-9.2148564221941296</c:v>
                </c:pt>
                <c:pt idx="725">
                  <c:v>-9.2148760894875394</c:v>
                </c:pt>
                <c:pt idx="726">
                  <c:v>-9.2148957564847329</c:v>
                </c:pt>
                <c:pt idx="727">
                  <c:v>-9.2149154231857171</c:v>
                </c:pt>
                <c:pt idx="728">
                  <c:v>-9.2149350895904938</c:v>
                </c:pt>
                <c:pt idx="729">
                  <c:v>-9.2149547556990683</c:v>
                </c:pt>
                <c:pt idx="730">
                  <c:v>-9.2149744215114442</c:v>
                </c:pt>
                <c:pt idx="731">
                  <c:v>-9.2149940870276232</c:v>
                </c:pt>
                <c:pt idx="732">
                  <c:v>-9.2150137522476054</c:v>
                </c:pt>
                <c:pt idx="733">
                  <c:v>-9.2150334171713997</c:v>
                </c:pt>
                <c:pt idx="734">
                  <c:v>-9.2150530817990095</c:v>
                </c:pt>
                <c:pt idx="735">
                  <c:v>-9.2150727461304367</c:v>
                </c:pt>
                <c:pt idx="736">
                  <c:v>-9.215092410165683</c:v>
                </c:pt>
                <c:pt idx="737">
                  <c:v>-9.2151120739047485</c:v>
                </c:pt>
                <c:pt idx="738">
                  <c:v>-9.2151317373476491</c:v>
                </c:pt>
                <c:pt idx="739">
                  <c:v>-9.2151514004943742</c:v>
                </c:pt>
                <c:pt idx="740">
                  <c:v>-9.2151710633449309</c:v>
                </c:pt>
                <c:pt idx="741">
                  <c:v>-9.215190725899328</c:v>
                </c:pt>
                <c:pt idx="742">
                  <c:v>-9.2152103881575655</c:v>
                </c:pt>
                <c:pt idx="743">
                  <c:v>-9.2152300501196507</c:v>
                </c:pt>
                <c:pt idx="744">
                  <c:v>-9.2152497117855763</c:v>
                </c:pt>
                <c:pt idx="745">
                  <c:v>-9.2152693731553565</c:v>
                </c:pt>
                <c:pt idx="746">
                  <c:v>-9.2152890342289897</c:v>
                </c:pt>
                <c:pt idx="747">
                  <c:v>-9.2153086950064829</c:v>
                </c:pt>
                <c:pt idx="748">
                  <c:v>-9.2153283554878307</c:v>
                </c:pt>
                <c:pt idx="749">
                  <c:v>-9.2153480156730474</c:v>
                </c:pt>
                <c:pt idx="750">
                  <c:v>-9.2153676755621277</c:v>
                </c:pt>
                <c:pt idx="751">
                  <c:v>-9.2153873351550821</c:v>
                </c:pt>
                <c:pt idx="752">
                  <c:v>-9.215406994451909</c:v>
                </c:pt>
                <c:pt idx="753">
                  <c:v>-9.2154266534526101</c:v>
                </c:pt>
                <c:pt idx="754">
                  <c:v>-9.2154463121571979</c:v>
                </c:pt>
                <c:pt idx="755">
                  <c:v>-9.2154659705656687</c:v>
                </c:pt>
                <c:pt idx="756">
                  <c:v>-9.2154856286780227</c:v>
                </c:pt>
                <c:pt idx="757">
                  <c:v>-9.2155052864942721</c:v>
                </c:pt>
                <c:pt idx="758">
                  <c:v>-9.2155249440144118</c:v>
                </c:pt>
                <c:pt idx="759">
                  <c:v>-9.2155446012384523</c:v>
                </c:pt>
                <c:pt idx="760">
                  <c:v>-9.2155642581663919</c:v>
                </c:pt>
                <c:pt idx="761">
                  <c:v>-9.2155839147982377</c:v>
                </c:pt>
                <c:pt idx="762">
                  <c:v>-9.2156035711339879</c:v>
                </c:pt>
                <c:pt idx="763">
                  <c:v>-9.2156232271736567</c:v>
                </c:pt>
                <c:pt idx="764">
                  <c:v>-9.2156428829172317</c:v>
                </c:pt>
                <c:pt idx="765">
                  <c:v>-9.215662538364727</c:v>
                </c:pt>
                <c:pt idx="766">
                  <c:v>-9.2156821935161428</c:v>
                </c:pt>
                <c:pt idx="767">
                  <c:v>-9.2157018483714861</c:v>
                </c:pt>
                <c:pt idx="768">
                  <c:v>-9.2157215029307551</c:v>
                </c:pt>
                <c:pt idx="769">
                  <c:v>-9.2157411571939605</c:v>
                </c:pt>
                <c:pt idx="770">
                  <c:v>-9.2157608111610951</c:v>
                </c:pt>
                <c:pt idx="771">
                  <c:v>-9.2157804648321697</c:v>
                </c:pt>
                <c:pt idx="772">
                  <c:v>-9.2158001182071825</c:v>
                </c:pt>
                <c:pt idx="773">
                  <c:v>-9.2158197712861423</c:v>
                </c:pt>
                <c:pt idx="774">
                  <c:v>-9.2158394240690544</c:v>
                </c:pt>
                <c:pt idx="775">
                  <c:v>-9.2158590765559101</c:v>
                </c:pt>
                <c:pt idx="776">
                  <c:v>-9.215878728746727</c:v>
                </c:pt>
                <c:pt idx="777">
                  <c:v>-9.2158983806414998</c:v>
                </c:pt>
                <c:pt idx="778">
                  <c:v>-9.2159180322402339</c:v>
                </c:pt>
                <c:pt idx="779">
                  <c:v>-9.2159376835429363</c:v>
                </c:pt>
                <c:pt idx="780">
                  <c:v>-9.2159573345496053</c:v>
                </c:pt>
                <c:pt idx="781">
                  <c:v>-9.2159769852602409</c:v>
                </c:pt>
                <c:pt idx="782">
                  <c:v>-9.2159966356748555</c:v>
                </c:pt>
                <c:pt idx="783">
                  <c:v>-9.2160162857934473</c:v>
                </c:pt>
                <c:pt idx="784">
                  <c:v>-9.2160359356160217</c:v>
                </c:pt>
                <c:pt idx="785">
                  <c:v>-9.2160555851425858</c:v>
                </c:pt>
                <c:pt idx="786">
                  <c:v>-9.2160752343731307</c:v>
                </c:pt>
                <c:pt idx="787">
                  <c:v>-9.2160948833076723</c:v>
                </c:pt>
                <c:pt idx="788">
                  <c:v>-9.2161145319462072</c:v>
                </c:pt>
                <c:pt idx="789">
                  <c:v>-9.2161341802887442</c:v>
                </c:pt>
                <c:pt idx="790">
                  <c:v>-9.2161538283352762</c:v>
                </c:pt>
                <c:pt idx="791">
                  <c:v>-9.2161734760858156</c:v>
                </c:pt>
                <c:pt idx="792">
                  <c:v>-9.2161931235403678</c:v>
                </c:pt>
                <c:pt idx="793">
                  <c:v>-9.2162127706989292</c:v>
                </c:pt>
                <c:pt idx="794">
                  <c:v>-9.2162324175615069</c:v>
                </c:pt>
                <c:pt idx="795">
                  <c:v>-9.2162520641281027</c:v>
                </c:pt>
                <c:pt idx="796">
                  <c:v>-9.2162717103987237</c:v>
                </c:pt>
                <c:pt idx="797">
                  <c:v>-9.2162913563733699</c:v>
                </c:pt>
                <c:pt idx="798">
                  <c:v>-9.2163110020520413</c:v>
                </c:pt>
                <c:pt idx="799">
                  <c:v>-9.2163306474347433</c:v>
                </c:pt>
                <c:pt idx="800">
                  <c:v>-9.2163502925214864</c:v>
                </c:pt>
                <c:pt idx="801">
                  <c:v>-9.2163699373122725</c:v>
                </c:pt>
                <c:pt idx="802">
                  <c:v>-9.2163895818070927</c:v>
                </c:pt>
                <c:pt idx="803">
                  <c:v>-9.2164092260059594</c:v>
                </c:pt>
                <c:pt idx="804">
                  <c:v>-9.2164288699088814</c:v>
                </c:pt>
                <c:pt idx="805">
                  <c:v>-9.2164485135158483</c:v>
                </c:pt>
                <c:pt idx="806">
                  <c:v>-9.2164681568268758</c:v>
                </c:pt>
                <c:pt idx="807">
                  <c:v>-9.2164877998419605</c:v>
                </c:pt>
                <c:pt idx="808">
                  <c:v>-9.2165074425611095</c:v>
                </c:pt>
                <c:pt idx="809">
                  <c:v>-9.216527084984321</c:v>
                </c:pt>
                <c:pt idx="810">
                  <c:v>-9.2165467271116093</c:v>
                </c:pt>
                <c:pt idx="811">
                  <c:v>-9.2165663689429618</c:v>
                </c:pt>
                <c:pt idx="812">
                  <c:v>-9.2165860104783928</c:v>
                </c:pt>
                <c:pt idx="813">
                  <c:v>-9.216605651717904</c:v>
                </c:pt>
                <c:pt idx="814">
                  <c:v>-9.2166252926614955</c:v>
                </c:pt>
                <c:pt idx="815">
                  <c:v>-9.216644933309178</c:v>
                </c:pt>
                <c:pt idx="816">
                  <c:v>-9.2166645736609496</c:v>
                </c:pt>
                <c:pt idx="817">
                  <c:v>-9.2166842137168103</c:v>
                </c:pt>
                <c:pt idx="818">
                  <c:v>-9.2167038534767691</c:v>
                </c:pt>
                <c:pt idx="819">
                  <c:v>-9.2167234929408277</c:v>
                </c:pt>
                <c:pt idx="820">
                  <c:v>-9.2167431321089914</c:v>
                </c:pt>
                <c:pt idx="821">
                  <c:v>-9.2167627709812585</c:v>
                </c:pt>
                <c:pt idx="822">
                  <c:v>-9.2167824095576396</c:v>
                </c:pt>
                <c:pt idx="823">
                  <c:v>-9.2168020478381258</c:v>
                </c:pt>
                <c:pt idx="824">
                  <c:v>-9.2168216858227385</c:v>
                </c:pt>
                <c:pt idx="825">
                  <c:v>-9.2168413235114652</c:v>
                </c:pt>
                <c:pt idx="826">
                  <c:v>-9.2168609609043184</c:v>
                </c:pt>
                <c:pt idx="827">
                  <c:v>-9.2168805980012944</c:v>
                </c:pt>
                <c:pt idx="828">
                  <c:v>-9.2169002348024005</c:v>
                </c:pt>
                <c:pt idx="829">
                  <c:v>-9.2169198713076401</c:v>
                </c:pt>
                <c:pt idx="830">
                  <c:v>-9.2169395075170186</c:v>
                </c:pt>
                <c:pt idx="831">
                  <c:v>-9.2169591434305342</c:v>
                </c:pt>
                <c:pt idx="832">
                  <c:v>-9.2169787790481976</c:v>
                </c:pt>
                <c:pt idx="833">
                  <c:v>-9.2169984143700088</c:v>
                </c:pt>
                <c:pt idx="834">
                  <c:v>-9.2170180493959624</c:v>
                </c:pt>
                <c:pt idx="835">
                  <c:v>-9.2170376841260762</c:v>
                </c:pt>
                <c:pt idx="836">
                  <c:v>-9.217057318560343</c:v>
                </c:pt>
                <c:pt idx="837">
                  <c:v>-9.2170769526987737</c:v>
                </c:pt>
                <c:pt idx="838">
                  <c:v>-9.2170965865413645</c:v>
                </c:pt>
                <c:pt idx="839">
                  <c:v>-9.2171162200881191</c:v>
                </c:pt>
                <c:pt idx="840">
                  <c:v>-9.2171358533390464</c:v>
                </c:pt>
                <c:pt idx="841">
                  <c:v>-9.2171554862941498</c:v>
                </c:pt>
                <c:pt idx="842">
                  <c:v>-9.2171751189534277</c:v>
                </c:pt>
                <c:pt idx="843">
                  <c:v>-9.2171947513168906</c:v>
                </c:pt>
                <c:pt idx="844">
                  <c:v>-9.2172143833845315</c:v>
                </c:pt>
                <c:pt idx="845">
                  <c:v>-9.2172340151563663</c:v>
                </c:pt>
                <c:pt idx="846">
                  <c:v>-9.2172536466323844</c:v>
                </c:pt>
                <c:pt idx="847">
                  <c:v>-9.2172732778126036</c:v>
                </c:pt>
                <c:pt idx="848">
                  <c:v>-9.2172929086970132</c:v>
                </c:pt>
                <c:pt idx="849">
                  <c:v>-9.2173125392856274</c:v>
                </c:pt>
                <c:pt idx="850">
                  <c:v>-9.2173321695784463</c:v>
                </c:pt>
                <c:pt idx="851">
                  <c:v>-9.2173517995754697</c:v>
                </c:pt>
                <c:pt idx="852">
                  <c:v>-9.2173714292767048</c:v>
                </c:pt>
                <c:pt idx="853">
                  <c:v>-9.2173910586821552</c:v>
                </c:pt>
                <c:pt idx="854">
                  <c:v>-9.2174106877918174</c:v>
                </c:pt>
                <c:pt idx="855">
                  <c:v>-9.2174303166057037</c:v>
                </c:pt>
                <c:pt idx="856">
                  <c:v>-9.2174499451238212</c:v>
                </c:pt>
                <c:pt idx="857">
                  <c:v>-9.2174695733461594</c:v>
                </c:pt>
                <c:pt idx="858">
                  <c:v>-9.2174892012727287</c:v>
                </c:pt>
                <c:pt idx="859">
                  <c:v>-9.2175088289035347</c:v>
                </c:pt>
                <c:pt idx="860">
                  <c:v>-9.217528456238572</c:v>
                </c:pt>
                <c:pt idx="861">
                  <c:v>-9.2175480832778565</c:v>
                </c:pt>
                <c:pt idx="862">
                  <c:v>-9.2175677100213829</c:v>
                </c:pt>
                <c:pt idx="863">
                  <c:v>-9.2175873364691583</c:v>
                </c:pt>
                <c:pt idx="864">
                  <c:v>-9.2176069626211845</c:v>
                </c:pt>
                <c:pt idx="865">
                  <c:v>-9.2176265884774686</c:v>
                </c:pt>
                <c:pt idx="866">
                  <c:v>-9.2176462140380053</c:v>
                </c:pt>
                <c:pt idx="867">
                  <c:v>-9.2176658393028088</c:v>
                </c:pt>
                <c:pt idx="868">
                  <c:v>-9.2176854642718755</c:v>
                </c:pt>
                <c:pt idx="869">
                  <c:v>-9.2177050889452055</c:v>
                </c:pt>
                <c:pt idx="870">
                  <c:v>-9.2177247133228075</c:v>
                </c:pt>
                <c:pt idx="871">
                  <c:v>-9.217744337404687</c:v>
                </c:pt>
                <c:pt idx="872">
                  <c:v>-9.2177639611908457</c:v>
                </c:pt>
                <c:pt idx="873">
                  <c:v>-9.2177835846812837</c:v>
                </c:pt>
                <c:pt idx="874">
                  <c:v>-9.2178032078760062</c:v>
                </c:pt>
                <c:pt idx="875">
                  <c:v>-9.2178228307750132</c:v>
                </c:pt>
                <c:pt idx="876">
                  <c:v>-9.2178424533783208</c:v>
                </c:pt>
                <c:pt idx="877">
                  <c:v>-9.2178620756859182</c:v>
                </c:pt>
                <c:pt idx="878">
                  <c:v>-9.2178816976978108</c:v>
                </c:pt>
                <c:pt idx="879">
                  <c:v>-9.2179013194140076</c:v>
                </c:pt>
                <c:pt idx="880">
                  <c:v>-9.217920940834512</c:v>
                </c:pt>
                <c:pt idx="881">
                  <c:v>-9.2179405619593258</c:v>
                </c:pt>
                <c:pt idx="882">
                  <c:v>-9.2179601827884436</c:v>
                </c:pt>
                <c:pt idx="883">
                  <c:v>-9.2179798033218834</c:v>
                </c:pt>
                <c:pt idx="884">
                  <c:v>-9.2179994235596361</c:v>
                </c:pt>
                <c:pt idx="885">
                  <c:v>-9.2180190435017106</c:v>
                </c:pt>
                <c:pt idx="886">
                  <c:v>-9.2180386631481195</c:v>
                </c:pt>
                <c:pt idx="887">
                  <c:v>-9.2180582824988466</c:v>
                </c:pt>
                <c:pt idx="888">
                  <c:v>-9.2180779015539063</c:v>
                </c:pt>
                <c:pt idx="889">
                  <c:v>-9.2180975203133038</c:v>
                </c:pt>
                <c:pt idx="890">
                  <c:v>-9.2181171387770426</c:v>
                </c:pt>
                <c:pt idx="891">
                  <c:v>-9.2181367569451229</c:v>
                </c:pt>
                <c:pt idx="892">
                  <c:v>-9.2181563748175481</c:v>
                </c:pt>
                <c:pt idx="893">
                  <c:v>-9.2181759923943201</c:v>
                </c:pt>
                <c:pt idx="894">
                  <c:v>-9.218195609675444</c:v>
                </c:pt>
                <c:pt idx="895">
                  <c:v>-9.2182152266609254</c:v>
                </c:pt>
                <c:pt idx="896">
                  <c:v>-9.2182348433507642</c:v>
                </c:pt>
                <c:pt idx="897">
                  <c:v>-9.2182544597449656</c:v>
                </c:pt>
                <c:pt idx="898">
                  <c:v>-9.2182740758435315</c:v>
                </c:pt>
                <c:pt idx="899">
                  <c:v>-9.2182936916464673</c:v>
                </c:pt>
                <c:pt idx="900">
                  <c:v>-9.2183133071537817</c:v>
                </c:pt>
                <c:pt idx="901">
                  <c:v>-9.2183329223654606</c:v>
                </c:pt>
                <c:pt idx="902">
                  <c:v>-9.2183525372815218</c:v>
                </c:pt>
                <c:pt idx="903">
                  <c:v>-9.2183721519019652</c:v>
                </c:pt>
                <c:pt idx="904">
                  <c:v>-9.218391766226798</c:v>
                </c:pt>
                <c:pt idx="905">
                  <c:v>-9.2184113802560201</c:v>
                </c:pt>
                <c:pt idx="906">
                  <c:v>-9.2184309939896316</c:v>
                </c:pt>
                <c:pt idx="907">
                  <c:v>-9.2184506074276378</c:v>
                </c:pt>
                <c:pt idx="908">
                  <c:v>-9.2184702205700493</c:v>
                </c:pt>
                <c:pt idx="909">
                  <c:v>-9.218489833416859</c:v>
                </c:pt>
                <c:pt idx="910">
                  <c:v>-9.2185094459680759</c:v>
                </c:pt>
                <c:pt idx="911">
                  <c:v>-9.2185290582236998</c:v>
                </c:pt>
                <c:pt idx="912">
                  <c:v>-9.2185486701837398</c:v>
                </c:pt>
                <c:pt idx="913">
                  <c:v>-9.2185682818481922</c:v>
                </c:pt>
                <c:pt idx="914">
                  <c:v>-9.218587893217066</c:v>
                </c:pt>
                <c:pt idx="915">
                  <c:v>-9.2186075042903628</c:v>
                </c:pt>
                <c:pt idx="916">
                  <c:v>-9.2186271150680827</c:v>
                </c:pt>
                <c:pt idx="917">
                  <c:v>-9.2186467255502311</c:v>
                </c:pt>
                <c:pt idx="918">
                  <c:v>-9.218666335736815</c:v>
                </c:pt>
                <c:pt idx="919">
                  <c:v>-9.2186859456278363</c:v>
                </c:pt>
                <c:pt idx="920">
                  <c:v>-9.2187055552232984</c:v>
                </c:pt>
                <c:pt idx="921">
                  <c:v>-9.2187251645231978</c:v>
                </c:pt>
                <c:pt idx="922">
                  <c:v>-9.218744773527547</c:v>
                </c:pt>
                <c:pt idx="923">
                  <c:v>-9.2187643822363494</c:v>
                </c:pt>
                <c:pt idx="924">
                  <c:v>-9.2187839906495999</c:v>
                </c:pt>
                <c:pt idx="925">
                  <c:v>-9.2188035987673072</c:v>
                </c:pt>
                <c:pt idx="926">
                  <c:v>-9.2188232065894731</c:v>
                </c:pt>
                <c:pt idx="927">
                  <c:v>-9.2188428141161065</c:v>
                </c:pt>
                <c:pt idx="928">
                  <c:v>-9.2188624213472021</c:v>
                </c:pt>
                <c:pt idx="929">
                  <c:v>-9.2188820282827688</c:v>
                </c:pt>
                <c:pt idx="930">
                  <c:v>-9.2189016349228137</c:v>
                </c:pt>
                <c:pt idx="931">
                  <c:v>-9.218921241267326</c:v>
                </c:pt>
                <c:pt idx="932">
                  <c:v>-9.2189408473163308</c:v>
                </c:pt>
                <c:pt idx="933">
                  <c:v>-9.2189604530698102</c:v>
                </c:pt>
                <c:pt idx="934">
                  <c:v>-9.2189800585277712</c:v>
                </c:pt>
                <c:pt idx="935">
                  <c:v>-9.2189996636902301</c:v>
                </c:pt>
                <c:pt idx="936">
                  <c:v>-9.2190192685571812</c:v>
                </c:pt>
                <c:pt idx="937">
                  <c:v>-9.2190388731286301</c:v>
                </c:pt>
                <c:pt idx="938">
                  <c:v>-9.2190584774045803</c:v>
                </c:pt>
                <c:pt idx="939">
                  <c:v>-9.2190780813850299</c:v>
                </c:pt>
                <c:pt idx="940">
                  <c:v>-9.2190976850699897</c:v>
                </c:pt>
                <c:pt idx="941">
                  <c:v>-9.2191172884594597</c:v>
                </c:pt>
                <c:pt idx="942">
                  <c:v>-9.2191368915534397</c:v>
                </c:pt>
                <c:pt idx="943">
                  <c:v>-9.2191564943519353</c:v>
                </c:pt>
                <c:pt idx="944">
                  <c:v>-9.219176096854957</c:v>
                </c:pt>
                <c:pt idx="945">
                  <c:v>-9.2191956990625012</c:v>
                </c:pt>
                <c:pt idx="946">
                  <c:v>-9.2192153009745734</c:v>
                </c:pt>
                <c:pt idx="947">
                  <c:v>-9.2192349025911771</c:v>
                </c:pt>
                <c:pt idx="948">
                  <c:v>-9.2192545039123104</c:v>
                </c:pt>
                <c:pt idx="949">
                  <c:v>-9.2192741049379823</c:v>
                </c:pt>
                <c:pt idx="950">
                  <c:v>-9.2192937056681945</c:v>
                </c:pt>
                <c:pt idx="951">
                  <c:v>-9.2193133061029471</c:v>
                </c:pt>
                <c:pt idx="952">
                  <c:v>-9.2193329062422489</c:v>
                </c:pt>
                <c:pt idx="953">
                  <c:v>-9.2193525060861052</c:v>
                </c:pt>
                <c:pt idx="954">
                  <c:v>-9.2193721056345126</c:v>
                </c:pt>
                <c:pt idx="955">
                  <c:v>-9.2193917048874816</c:v>
                </c:pt>
                <c:pt idx="956">
                  <c:v>-9.219411303845007</c:v>
                </c:pt>
                <c:pt idx="957">
                  <c:v>-9.2194309025070993</c:v>
                </c:pt>
                <c:pt idx="958">
                  <c:v>-9.2194505008737551</c:v>
                </c:pt>
                <c:pt idx="959">
                  <c:v>-9.2194700989449814</c:v>
                </c:pt>
                <c:pt idx="960">
                  <c:v>-9.2194896967207889</c:v>
                </c:pt>
                <c:pt idx="961">
                  <c:v>-9.2195092942011652</c:v>
                </c:pt>
                <c:pt idx="962">
                  <c:v>-9.2195288913861315</c:v>
                </c:pt>
                <c:pt idx="963">
                  <c:v>-9.2195484882756773</c:v>
                </c:pt>
                <c:pt idx="964">
                  <c:v>-9.2195680848698078</c:v>
                </c:pt>
                <c:pt idx="965">
                  <c:v>-9.2195876811685338</c:v>
                </c:pt>
                <c:pt idx="966">
                  <c:v>-9.2196072771718498</c:v>
                </c:pt>
                <c:pt idx="967">
                  <c:v>-9.2196268728797595</c:v>
                </c:pt>
                <c:pt idx="968">
                  <c:v>-9.219646468292277</c:v>
                </c:pt>
                <c:pt idx="969">
                  <c:v>-9.2196660634094005</c:v>
                </c:pt>
                <c:pt idx="970">
                  <c:v>-9.2196856582311355</c:v>
                </c:pt>
                <c:pt idx="971">
                  <c:v>-9.2197052527574748</c:v>
                </c:pt>
                <c:pt idx="972">
                  <c:v>-9.2197248469884272</c:v>
                </c:pt>
                <c:pt idx="973">
                  <c:v>-9.2197444409240035</c:v>
                </c:pt>
                <c:pt idx="974">
                  <c:v>-9.2197640345641965</c:v>
                </c:pt>
                <c:pt idx="975">
                  <c:v>-9.2197836279090151</c:v>
                </c:pt>
                <c:pt idx="976">
                  <c:v>-9.2198032209584611</c:v>
                </c:pt>
                <c:pt idx="977">
                  <c:v>-9.2198228137125451</c:v>
                </c:pt>
                <c:pt idx="978">
                  <c:v>-9.2198424061712565</c:v>
                </c:pt>
                <c:pt idx="979">
                  <c:v>-9.2198619983346077</c:v>
                </c:pt>
                <c:pt idx="980">
                  <c:v>-9.2198815902025988</c:v>
                </c:pt>
                <c:pt idx="981">
                  <c:v>-9.2199011817752385</c:v>
                </c:pt>
                <c:pt idx="982">
                  <c:v>-9.2199207730525199</c:v>
                </c:pt>
                <c:pt idx="983">
                  <c:v>-9.2199403640344642</c:v>
                </c:pt>
                <c:pt idx="984">
                  <c:v>-9.2199599547210536</c:v>
                </c:pt>
                <c:pt idx="985">
                  <c:v>-9.2199795451123059</c:v>
                </c:pt>
                <c:pt idx="986">
                  <c:v>-9.2199991352082176</c:v>
                </c:pt>
                <c:pt idx="987">
                  <c:v>-9.2200187250087939</c:v>
                </c:pt>
                <c:pt idx="988">
                  <c:v>-9.2200383145140421</c:v>
                </c:pt>
                <c:pt idx="989">
                  <c:v>-9.2200579037239603</c:v>
                </c:pt>
                <c:pt idx="990">
                  <c:v>-9.2200774926385503</c:v>
                </c:pt>
                <c:pt idx="991">
                  <c:v>-9.2200970812578191</c:v>
                </c:pt>
                <c:pt idx="992">
                  <c:v>-9.2201166695817758</c:v>
                </c:pt>
                <c:pt idx="993">
                  <c:v>-9.2201362576104096</c:v>
                </c:pt>
                <c:pt idx="994">
                  <c:v>-9.22015584534374</c:v>
                </c:pt>
                <c:pt idx="995">
                  <c:v>-9.2201754327817582</c:v>
                </c:pt>
                <c:pt idx="996">
                  <c:v>-9.2201950199244767</c:v>
                </c:pt>
                <c:pt idx="997">
                  <c:v>-9.2202146067718864</c:v>
                </c:pt>
                <c:pt idx="998">
                  <c:v>-9.2202341933240035</c:v>
                </c:pt>
                <c:pt idx="999">
                  <c:v>-9.2202537795808208</c:v>
                </c:pt>
                <c:pt idx="1000">
                  <c:v>-9.2202733655423526</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Calculs!$J$4:$J$1004</c:f>
              <c:numCache>
                <c:formatCode>0.00</c:formatCode>
                <c:ptCount val="1001"/>
                <c:pt idx="0">
                  <c:v>131.1551130355156</c:v>
                </c:pt>
                <c:pt idx="1">
                  <c:v>131.54043507181609</c:v>
                </c:pt>
                <c:pt idx="2">
                  <c:v>131.92632963716898</c:v>
                </c:pt>
                <c:pt idx="3">
                  <c:v>132.31352857081282</c:v>
                </c:pt>
                <c:pt idx="4">
                  <c:v>132.70216476305305</c:v>
                </c:pt>
                <c:pt idx="5">
                  <c:v>133.09211109009587</c:v>
                </c:pt>
                <c:pt idx="6">
                  <c:v>133.48331963409086</c:v>
                </c:pt>
                <c:pt idx="7">
                  <c:v>133.87578209569972</c:v>
                </c:pt>
                <c:pt idx="8">
                  <c:v>134.26949017083891</c:v>
                </c:pt>
                <c:pt idx="9">
                  <c:v>134.66443555094642</c:v>
                </c:pt>
                <c:pt idx="10">
                  <c:v>135.06060992324578</c:v>
                </c:pt>
                <c:pt idx="11">
                  <c:v>135.45800497100714</c:v>
                </c:pt>
                <c:pt idx="12">
                  <c:v>135.85661237380594</c:v>
                </c:pt>
                <c:pt idx="13">
                  <c:v>136.25642380777865</c:v>
                </c:pt>
                <c:pt idx="14">
                  <c:v>136.65743094587594</c:v>
                </c:pt>
                <c:pt idx="15">
                  <c:v>137.05962545811312</c:v>
                </c:pt>
                <c:pt idx="16">
                  <c:v>137.46299901181786</c:v>
                </c:pt>
                <c:pt idx="17">
                  <c:v>137.86754327187543</c:v>
                </c:pt>
                <c:pt idx="18">
                  <c:v>138.27324990097102</c:v>
                </c:pt>
                <c:pt idx="19">
                  <c:v>138.68011055982961</c:v>
                </c:pt>
                <c:pt idx="20">
                  <c:v>139.08811690745304</c:v>
                </c:pt>
                <c:pt idx="21">
                  <c:v>139.49726060135461</c:v>
                </c:pt>
                <c:pt idx="22">
                  <c:v>139.90753329779088</c:v>
                </c:pt>
                <c:pt idx="23">
                  <c:v>140.31892665199103</c:v>
                </c:pt>
                <c:pt idx="24">
                  <c:v>140.73143231838347</c:v>
                </c:pt>
                <c:pt idx="25">
                  <c:v>141.14504195081983</c:v>
                </c:pt>
                <c:pt idx="26">
                  <c:v>141.55974720279653</c:v>
                </c:pt>
                <c:pt idx="27">
                  <c:v>141.97553972767361</c:v>
                </c:pt>
                <c:pt idx="28">
                  <c:v>142.39241117889094</c:v>
                </c:pt>
                <c:pt idx="29">
                  <c:v>142.81035321018209</c:v>
                </c:pt>
                <c:pt idx="30">
                  <c:v>143.22935747578538</c:v>
                </c:pt>
                <c:pt idx="31">
                  <c:v>143.64941563065253</c:v>
                </c:pt>
                <c:pt idx="32">
                  <c:v>144.07051933065475</c:v>
                </c:pt>
                <c:pt idx="33">
                  <c:v>144.49266023278628</c:v>
                </c:pt>
                <c:pt idx="34">
                  <c:v>144.91582999536533</c:v>
                </c:pt>
                <c:pt idx="35">
                  <c:v>145.34002027823263</c:v>
                </c:pt>
                <c:pt idx="36">
                  <c:v>145.76522274294743</c:v>
                </c:pt>
                <c:pt idx="37">
                  <c:v>146.19142905298096</c:v>
                </c:pt>
                <c:pt idx="38">
                  <c:v>146.61863087390742</c:v>
                </c:pt>
                <c:pt idx="39">
                  <c:v>147.04681987359254</c:v>
                </c:pt>
                <c:pt idx="40">
                  <c:v>147.47598772237959</c:v>
                </c:pt>
                <c:pt idx="41">
                  <c:v>147.90612609327297</c:v>
                </c:pt>
                <c:pt idx="42">
                  <c:v>148.33722666211943</c:v>
                </c:pt>
                <c:pt idx="43">
                  <c:v>148.76928110778664</c:v>
                </c:pt>
                <c:pt idx="44">
                  <c:v>149.20228111233951</c:v>
                </c:pt>
                <c:pt idx="45">
                  <c:v>149.63621836121405</c:v>
                </c:pt>
                <c:pt idx="46">
                  <c:v>150.07108454338879</c:v>
                </c:pt>
                <c:pt idx="47">
                  <c:v>150.50687135155383</c:v>
                </c:pt>
                <c:pt idx="48">
                  <c:v>150.94357048227741</c:v>
                </c:pt>
                <c:pt idx="49">
                  <c:v>151.38117363617022</c:v>
                </c:pt>
                <c:pt idx="50">
                  <c:v>151.81967251804724</c:v>
                </c:pt>
                <c:pt idx="51">
                  <c:v>152.25905883708728</c:v>
                </c:pt>
                <c:pt idx="52">
                  <c:v>152.69932430699015</c:v>
                </c:pt>
                <c:pt idx="53">
                  <c:v>153.14046064613149</c:v>
                </c:pt>
                <c:pt idx="54">
                  <c:v>153.58245957771524</c:v>
                </c:pt>
                <c:pt idx="55">
                  <c:v>154.02531282992382</c:v>
                </c:pt>
                <c:pt idx="56">
                  <c:v>154.46901213606597</c:v>
                </c:pt>
                <c:pt idx="57">
                  <c:v>154.91354923472238</c:v>
                </c:pt>
                <c:pt idx="58">
                  <c:v>155.3589158698889</c:v>
                </c:pt>
                <c:pt idx="59">
                  <c:v>155.80510379111755</c:v>
                </c:pt>
                <c:pt idx="60">
                  <c:v>156.25210475365526</c:v>
                </c:pt>
                <c:pt idx="61">
                  <c:v>156.69991051858037</c:v>
                </c:pt>
                <c:pt idx="62">
                  <c:v>157.14851285293679</c:v>
                </c:pt>
                <c:pt idx="63">
                  <c:v>157.59789996128404</c:v>
                </c:pt>
                <c:pt idx="64">
                  <c:v>158.04805291750549</c:v>
                </c:pt>
                <c:pt idx="65">
                  <c:v>158.49894924008308</c:v>
                </c:pt>
                <c:pt idx="66">
                  <c:v>158.95056646730319</c:v>
                </c:pt>
                <c:pt idx="67">
                  <c:v>159.40287887903915</c:v>
                </c:pt>
                <c:pt idx="68">
                  <c:v>159.85585421913737</c:v>
                </c:pt>
                <c:pt idx="69">
                  <c:v>160.30945114324558</c:v>
                </c:pt>
                <c:pt idx="70">
                  <c:v>160.76361666794466</c:v>
                </c:pt>
                <c:pt idx="71">
                  <c:v>161.21829202270038</c:v>
                </c:pt>
                <c:pt idx="72">
                  <c:v>161.6734185008045</c:v>
                </c:pt>
                <c:pt idx="73">
                  <c:v>162.12893746163513</c:v>
                </c:pt>
                <c:pt idx="74">
                  <c:v>162.58479033282839</c:v>
                </c:pt>
                <c:pt idx="75">
                  <c:v>163.04091861236188</c:v>
                </c:pt>
                <c:pt idx="76">
                  <c:v>163.49726387055003</c:v>
                </c:pt>
                <c:pt idx="77">
                  <c:v>163.95376775195228</c:v>
                </c:pt>
                <c:pt idx="78">
                  <c:v>164.41037197719399</c:v>
                </c:pt>
                <c:pt idx="79">
                  <c:v>164.86701834470082</c:v>
                </c:pt>
                <c:pt idx="80">
                  <c:v>165.32364873234695</c:v>
                </c:pt>
                <c:pt idx="81">
                  <c:v>165.78021209043138</c:v>
                </c:pt>
                <c:pt idx="82">
                  <c:v>166.23667142866194</c:v>
                </c:pt>
                <c:pt idx="83">
                  <c:v>166.69299680499802</c:v>
                </c:pt>
                <c:pt idx="84">
                  <c:v>167.14915831977527</c:v>
                </c:pt>
                <c:pt idx="85">
                  <c:v>167.60512611587896</c:v>
                </c:pt>
                <c:pt idx="86">
                  <c:v>168.0608703788958</c:v>
                </c:pt>
                <c:pt idx="87">
                  <c:v>168.51636133724392</c:v>
                </c:pt>
                <c:pt idx="88">
                  <c:v>168.97156926228169</c:v>
                </c:pt>
                <c:pt idx="89">
                  <c:v>169.42646668721616</c:v>
                </c:pt>
                <c:pt idx="90">
                  <c:v>169.88103062383692</c:v>
                </c:pt>
                <c:pt idx="91">
                  <c:v>170.33524033672509</c:v>
                </c:pt>
                <c:pt idx="92">
                  <c:v>170.78907511954225</c:v>
                </c:pt>
                <c:pt idx="93">
                  <c:v>171.24251485096084</c:v>
                </c:pt>
                <c:pt idx="94">
                  <c:v>171.69554055002618</c:v>
                </c:pt>
                <c:pt idx="95">
                  <c:v>172.14813381823743</c:v>
                </c:pt>
                <c:pt idx="96">
                  <c:v>172.60027628217395</c:v>
                </c:pt>
                <c:pt idx="97">
                  <c:v>173.0519518226458</c:v>
                </c:pt>
                <c:pt idx="98">
                  <c:v>173.50314880154164</c:v>
                </c:pt>
                <c:pt idx="99">
                  <c:v>173.95385782522129</c:v>
                </c:pt>
                <c:pt idx="100">
                  <c:v>174.404069510216</c:v>
                </c:pt>
                <c:pt idx="101">
                  <c:v>174.85377448309956</c:v>
                </c:pt>
                <c:pt idx="102">
                  <c:v>175.30296338035768</c:v>
                </c:pt>
                <c:pt idx="103">
                  <c:v>175.751626848256</c:v>
                </c:pt>
                <c:pt idx="104">
                  <c:v>176.19975554270613</c:v>
                </c:pt>
                <c:pt idx="105">
                  <c:v>176.64734012913038</c:v>
                </c:pt>
                <c:pt idx="106">
                  <c:v>177.09437128232463</c:v>
                </c:pt>
                <c:pt idx="107">
                  <c:v>177.54083968631966</c:v>
                </c:pt>
                <c:pt idx="108">
                  <c:v>177.98673603424092</c:v>
                </c:pt>
                <c:pt idx="109">
                  <c:v>178.43205383395684</c:v>
                </c:pt>
                <c:pt idx="110">
                  <c:v>178.87679221086907</c:v>
                </c:pt>
                <c:pt idx="111">
                  <c:v>179.32095309314826</c:v>
                </c:pt>
                <c:pt idx="112">
                  <c:v>179.76453839992726</c:v>
                </c:pt>
                <c:pt idx="113">
                  <c:v>180.20755004135864</c:v>
                </c:pt>
                <c:pt idx="114">
                  <c:v>180.64998991867171</c:v>
                </c:pt>
                <c:pt idx="115">
                  <c:v>181.09185992422911</c:v>
                </c:pt>
                <c:pt idx="116">
                  <c:v>181.53316194158288</c:v>
                </c:pt>
                <c:pt idx="117">
                  <c:v>181.97389784553019</c:v>
                </c:pt>
                <c:pt idx="118">
                  <c:v>182.41406950216859</c:v>
                </c:pt>
                <c:pt idx="119">
                  <c:v>182.85367876895074</c:v>
                </c:pt>
                <c:pt idx="120">
                  <c:v>183.2927274947389</c:v>
                </c:pt>
                <c:pt idx="121">
                  <c:v>183.73121751985872</c:v>
                </c:pt>
                <c:pt idx="122">
                  <c:v>184.16915067615287</c:v>
                </c:pt>
                <c:pt idx="123">
                  <c:v>184.60652878703416</c:v>
                </c:pt>
                <c:pt idx="124">
                  <c:v>185.04335366753816</c:v>
                </c:pt>
                <c:pt idx="125">
                  <c:v>185.47962712437547</c:v>
                </c:pt>
                <c:pt idx="126">
                  <c:v>185.91535095598363</c:v>
                </c:pt>
                <c:pt idx="127">
                  <c:v>186.35052695257855</c:v>
                </c:pt>
                <c:pt idx="128">
                  <c:v>186.78515689620559</c:v>
                </c:pt>
                <c:pt idx="129">
                  <c:v>187.21924256079021</c:v>
                </c:pt>
                <c:pt idx="130">
                  <c:v>187.65278571218821</c:v>
                </c:pt>
                <c:pt idx="131">
                  <c:v>188.0857881082357</c:v>
                </c:pt>
                <c:pt idx="132">
                  <c:v>188.51825149879852</c:v>
                </c:pt>
                <c:pt idx="133">
                  <c:v>188.95017762582134</c:v>
                </c:pt>
                <c:pt idx="134">
                  <c:v>189.38156822337649</c:v>
                </c:pt>
                <c:pt idx="135">
                  <c:v>189.8124250177122</c:v>
                </c:pt>
                <c:pt idx="136">
                  <c:v>190.24274972730069</c:v>
                </c:pt>
                <c:pt idx="137">
                  <c:v>190.67254406288572</c:v>
                </c:pt>
                <c:pt idx="138">
                  <c:v>191.10180972752988</c:v>
                </c:pt>
                <c:pt idx="139">
                  <c:v>191.53054841666147</c:v>
                </c:pt>
                <c:pt idx="140">
                  <c:v>191.95876181812105</c:v>
                </c:pt>
                <c:pt idx="141">
                  <c:v>192.38645161220762</c:v>
                </c:pt>
                <c:pt idx="142">
                  <c:v>192.81361947172445</c:v>
                </c:pt>
                <c:pt idx="143">
                  <c:v>193.24026706202451</c:v>
                </c:pt>
                <c:pt idx="144">
                  <c:v>193.66639604105572</c:v>
                </c:pt>
                <c:pt idx="145">
                  <c:v>194.0920080594056</c:v>
                </c:pt>
                <c:pt idx="146">
                  <c:v>194.51710476034583</c:v>
                </c:pt>
                <c:pt idx="147">
                  <c:v>194.94168777987636</c:v>
                </c:pt>
                <c:pt idx="148">
                  <c:v>195.36575874676916</c:v>
                </c:pt>
                <c:pt idx="149">
                  <c:v>195.7893192826117</c:v>
                </c:pt>
                <c:pt idx="150">
                  <c:v>196.21237100185007</c:v>
                </c:pt>
                <c:pt idx="151">
                  <c:v>196.63491551183176</c:v>
                </c:pt>
                <c:pt idx="152">
                  <c:v>197.05695441284823</c:v>
                </c:pt>
                <c:pt idx="153">
                  <c:v>197.47848929817698</c:v>
                </c:pt>
                <c:pt idx="154">
                  <c:v>197.89952175412347</c:v>
                </c:pt>
                <c:pt idx="155">
                  <c:v>198.32005336006262</c:v>
                </c:pt>
                <c:pt idx="156">
                  <c:v>198.74008568848004</c:v>
                </c:pt>
                <c:pt idx="157">
                  <c:v>199.15962030501302</c:v>
                </c:pt>
                <c:pt idx="158">
                  <c:v>199.57865876849107</c:v>
                </c:pt>
                <c:pt idx="159">
                  <c:v>199.99720263097626</c:v>
                </c:pt>
                <c:pt idx="160">
                  <c:v>200.41525343780327</c:v>
                </c:pt>
                <c:pt idx="161">
                  <c:v>200.83281272761911</c:v>
                </c:pt>
                <c:pt idx="162">
                  <c:v>201.24988203242248</c:v>
                </c:pt>
                <c:pt idx="163">
                  <c:v>201.66646287760301</c:v>
                </c:pt>
                <c:pt idx="164">
                  <c:v>202.08255678198006</c:v>
                </c:pt>
                <c:pt idx="165">
                  <c:v>202.49816525784129</c:v>
                </c:pt>
                <c:pt idx="166">
                  <c:v>202.91328981098096</c:v>
                </c:pt>
                <c:pt idx="167">
                  <c:v>203.32793194073787</c:v>
                </c:pt>
                <c:pt idx="168">
                  <c:v>203.74209314003321</c:v>
                </c:pt>
                <c:pt idx="169">
                  <c:v>204.15577489540789</c:v>
                </c:pt>
                <c:pt idx="170">
                  <c:v>204.5689786870598</c:v>
                </c:pt>
                <c:pt idx="171">
                  <c:v>204.98170598888061</c:v>
                </c:pt>
                <c:pt idx="172">
                  <c:v>205.39395826849255</c:v>
                </c:pt>
                <c:pt idx="173">
                  <c:v>205.80573698728466</c:v>
                </c:pt>
                <c:pt idx="174">
                  <c:v>206.21704360044896</c:v>
                </c:pt>
                <c:pt idx="175">
                  <c:v>206.62787955701626</c:v>
                </c:pt>
                <c:pt idx="176">
                  <c:v>207.03824629989177</c:v>
                </c:pt>
                <c:pt idx="177">
                  <c:v>207.44814526589045</c:v>
                </c:pt>
                <c:pt idx="178">
                  <c:v>207.85757788577203</c:v>
                </c:pt>
                <c:pt idx="179">
                  <c:v>208.26654558427589</c:v>
                </c:pt>
                <c:pt idx="180">
                  <c:v>208.67504978015558</c:v>
                </c:pt>
                <c:pt idx="181">
                  <c:v>209.08309188621317</c:v>
                </c:pt>
                <c:pt idx="182">
                  <c:v>209.49067330933332</c:v>
                </c:pt>
                <c:pt idx="183">
                  <c:v>209.89779545051715</c:v>
                </c:pt>
                <c:pt idx="184">
                  <c:v>210.30445970491576</c:v>
                </c:pt>
                <c:pt idx="185">
                  <c:v>210.71066746186366</c:v>
                </c:pt>
                <c:pt idx="186">
                  <c:v>211.11642010491184</c:v>
                </c:pt>
                <c:pt idx="187">
                  <c:v>211.52171901186063</c:v>
                </c:pt>
                <c:pt idx="188">
                  <c:v>211.9265655547924</c:v>
                </c:pt>
                <c:pt idx="189">
                  <c:v>212.33096110010396</c:v>
                </c:pt>
                <c:pt idx="190">
                  <c:v>212.73490700853873</c:v>
                </c:pt>
                <c:pt idx="191">
                  <c:v>213.13840463521865</c:v>
                </c:pt>
                <c:pt idx="192">
                  <c:v>213.54145532967601</c:v>
                </c:pt>
                <c:pt idx="193">
                  <c:v>213.94406043588489</c:v>
                </c:pt>
                <c:pt idx="194">
                  <c:v>214.34622129229246</c:v>
                </c:pt>
                <c:pt idx="195">
                  <c:v>214.74793923185004</c:v>
                </c:pt>
                <c:pt idx="196">
                  <c:v>215.14921558204398</c:v>
                </c:pt>
                <c:pt idx="197">
                  <c:v>215.55005166492626</c:v>
                </c:pt>
                <c:pt idx="198">
                  <c:v>215.95044879714487</c:v>
                </c:pt>
                <c:pt idx="199">
                  <c:v>216.3504082899741</c:v>
                </c:pt>
                <c:pt idx="200">
                  <c:v>216.74993144934444</c:v>
                </c:pt>
                <c:pt idx="201">
                  <c:v>220.72126544097719</c:v>
                </c:pt>
                <c:pt idx="202">
                  <c:v>224.64980262884851</c:v>
                </c:pt>
                <c:pt idx="203">
                  <c:v>228.5368006064806</c:v>
                </c:pt>
                <c:pt idx="204">
                  <c:v>232.38346720717126</c:v>
                </c:pt>
                <c:pt idx="205">
                  <c:v>236.19096317416117</c:v>
                </c:pt>
                <c:pt idx="206">
                  <c:v>239.96040465358703</c:v>
                </c:pt>
                <c:pt idx="207">
                  <c:v>243.69286552420539</c:v>
                </c:pt>
                <c:pt idx="208">
                  <c:v>247.38937957659493</c:v>
                </c:pt>
                <c:pt idx="209">
                  <c:v>251.0509425534002</c:v>
                </c:pt>
                <c:pt idx="210">
                  <c:v>254.67851406115093</c:v>
                </c:pt>
                <c:pt idx="211">
                  <c:v>258.27301936326637</c:v>
                </c:pt>
                <c:pt idx="212">
                  <c:v>261.8353510630206</c:v>
                </c:pt>
                <c:pt idx="213">
                  <c:v>265.36637068449318</c:v>
                </c:pt>
                <c:pt idx="214">
                  <c:v>268.86691015885071</c:v>
                </c:pt>
                <c:pt idx="215">
                  <c:v>272.33777322269049</c:v>
                </c:pt>
                <c:pt idx="216">
                  <c:v>275.77973673462174</c:v>
                </c:pt>
                <c:pt idx="217">
                  <c:v>279.19355191575568</c:v>
                </c:pt>
                <c:pt idx="218">
                  <c:v>282.57994551931705</c:v>
                </c:pt>
                <c:pt idx="219">
                  <c:v>285.93962093417503</c:v>
                </c:pt>
                <c:pt idx="220">
                  <c:v>289.27325922671099</c:v>
                </c:pt>
                <c:pt idx="221">
                  <c:v>292.58152012509709</c:v>
                </c:pt>
                <c:pt idx="222">
                  <c:v>295.86504294974338</c:v>
                </c:pt>
                <c:pt idx="223">
                  <c:v>299.12444749338493</c:v>
                </c:pt>
                <c:pt idx="224">
                  <c:v>302.36033485401629</c:v>
                </c:pt>
                <c:pt idx="225">
                  <c:v>305.57328822364133</c:v>
                </c:pt>
                <c:pt idx="226">
                  <c:v>308.76387363558467</c:v>
                </c:pt>
                <c:pt idx="227">
                  <c:v>311.93264067290971</c:v>
                </c:pt>
                <c:pt idx="228">
                  <c:v>315.08012314030179</c:v>
                </c:pt>
                <c:pt idx="229">
                  <c:v>318.20683970160491</c:v>
                </c:pt>
                <c:pt idx="230">
                  <c:v>321.31329448504209</c:v>
                </c:pt>
                <c:pt idx="231">
                  <c:v>324.39997765800632</c:v>
                </c:pt>
                <c:pt idx="232">
                  <c:v>327.46736597317351</c:v>
                </c:pt>
                <c:pt idx="233">
                  <c:v>330.51592328756709</c:v>
                </c:pt>
                <c:pt idx="234">
                  <c:v>333.54610105608856</c:v>
                </c:pt>
                <c:pt idx="235">
                  <c:v>336.55833880092348</c:v>
                </c:pt>
                <c:pt idx="236">
                  <c:v>339.55306455813383</c:v>
                </c:pt>
                <c:pt idx="237">
                  <c:v>342.53069530265736</c:v>
                </c:pt>
                <c:pt idx="238">
                  <c:v>345.49163735284912</c:v>
                </c:pt>
                <c:pt idx="239">
                  <c:v>348.4362867556228</c:v>
                </c:pt>
                <c:pt idx="240">
                  <c:v>351.36502965317521</c:v>
                </c:pt>
                <c:pt idx="241">
                  <c:v>354.27824263220907</c:v>
                </c:pt>
                <c:pt idx="242">
                  <c:v>357.17629305650513</c:v>
                </c:pt>
                <c:pt idx="243">
                  <c:v>360.05953938363461</c:v>
                </c:pt>
                <c:pt idx="244">
                  <c:v>362.92833146654601</c:v>
                </c:pt>
                <c:pt idx="245">
                  <c:v>365.78301084070779</c:v>
                </c:pt>
                <c:pt idx="246">
                  <c:v>368.62391099743769</c:v>
                </c:pt>
                <c:pt idx="247">
                  <c:v>371.4513576440022</c:v>
                </c:pt>
                <c:pt idx="248">
                  <c:v>374.26566895102451</c:v>
                </c:pt>
                <c:pt idx="249">
                  <c:v>377.06715578769604</c:v>
                </c:pt>
                <c:pt idx="250">
                  <c:v>379.85612194524657</c:v>
                </c:pt>
                <c:pt idx="251">
                  <c:v>382.63286434908736</c:v>
                </c:pt>
                <c:pt idx="252">
                  <c:v>385.39767326000498</c:v>
                </c:pt>
                <c:pt idx="253">
                  <c:v>388.15083246474666</c:v>
                </c:pt>
                <c:pt idx="254">
                  <c:v>390.8926194563025</c:v>
                </c:pt>
                <c:pt idx="255">
                  <c:v>393.62330560415586</c:v>
                </c:pt>
                <c:pt idx="256">
                  <c:v>396.34315631473942</c:v>
                </c:pt>
                <c:pt idx="257">
                  <c:v>399.05243118230163</c:v>
                </c:pt>
                <c:pt idx="258">
                  <c:v>401.75138413035609</c:v>
                </c:pt>
                <c:pt idx="259">
                  <c:v>404.44026354385426</c:v>
                </c:pt>
                <c:pt idx="260">
                  <c:v>407.11931239219098</c:v>
                </c:pt>
                <c:pt idx="261">
                  <c:v>409.78876834312001</c:v>
                </c:pt>
                <c:pt idx="262">
                  <c:v>412.44886386762721</c:v>
                </c:pt>
                <c:pt idx="263">
                  <c:v>415.09982633577721</c:v>
                </c:pt>
                <c:pt idx="264">
                  <c:v>417.74187810351981</c:v>
                </c:pt>
                <c:pt idx="265">
                  <c:v>420.37523659041216</c:v>
                </c:pt>
                <c:pt idx="266">
                  <c:v>423.00011434818322</c:v>
                </c:pt>
                <c:pt idx="267">
                  <c:v>425.61671912003868</c:v>
                </c:pt>
                <c:pt idx="268">
                  <c:v>428.22525389057716</c:v>
                </c:pt>
                <c:pt idx="269">
                  <c:v>430.82591692616262</c:v>
                </c:pt>
                <c:pt idx="270">
                  <c:v>433.41890180557374</c:v>
                </c:pt>
                <c:pt idx="271">
                  <c:v>436.00439744073111</c:v>
                </c:pt>
                <c:pt idx="272">
                  <c:v>438.58258808728488</c:v>
                </c:pt>
                <c:pt idx="273">
                  <c:v>441.15365334483482</c:v>
                </c:pt>
                <c:pt idx="274">
                  <c:v>443.71776814654748</c:v>
                </c:pt>
                <c:pt idx="275">
                  <c:v>446.27510273793825</c:v>
                </c:pt>
                <c:pt idx="276">
                  <c:v>448.82582264459779</c:v>
                </c:pt>
                <c:pt idx="277">
                  <c:v>451.37008862866662</c:v>
                </c:pt>
                <c:pt idx="278">
                  <c:v>453.90805663390029</c:v>
                </c:pt>
                <c:pt idx="279">
                  <c:v>456.43987771922394</c:v>
                </c:pt>
                <c:pt idx="280">
                  <c:v>458.96569798075319</c:v>
                </c:pt>
                <c:pt idx="281">
                  <c:v>461.48565846235715</c:v>
                </c:pt>
                <c:pt idx="282">
                  <c:v>463.99989505497024</c:v>
                </c:pt>
                <c:pt idx="283">
                  <c:v>466.50853838501558</c:v>
                </c:pt>
                <c:pt idx="284">
                  <c:v>469.01171369249482</c:v>
                </c:pt>
                <c:pt idx="285">
                  <c:v>471.50954069952513</c:v>
                </c:pt>
                <c:pt idx="286">
                  <c:v>474.00213347036265</c:v>
                </c:pt>
                <c:pt idx="287">
                  <c:v>476.48960026424618</c:v>
                </c:pt>
                <c:pt idx="288">
                  <c:v>478.97204338271513</c:v>
                </c:pt>
                <c:pt idx="289">
                  <c:v>481.44955901339995</c:v>
                </c:pt>
                <c:pt idx="290">
                  <c:v>483.92223707263588</c:v>
                </c:pt>
                <c:pt idx="291">
                  <c:v>486.3901610496016</c:v>
                </c:pt>
                <c:pt idx="292">
                  <c:v>488.85340785500983</c:v>
                </c:pt>
                <c:pt idx="293">
                  <c:v>491.31204767766087</c:v>
                </c:pt>
                <c:pt idx="294">
                  <c:v>493.76614385238219</c:v>
                </c:pt>
                <c:pt idx="295">
                  <c:v>496.2157527429984</c:v>
                </c:pt>
                <c:pt idx="296">
                  <c:v>498.66092364397997</c:v>
                </c:pt>
                <c:pt idx="297">
                  <c:v>501.10169870428678</c:v>
                </c:pt>
                <c:pt idx="298">
                  <c:v>503.53811287664576</c:v>
                </c:pt>
                <c:pt idx="299">
                  <c:v>505.970193895075</c:v>
                </c:pt>
                <c:pt idx="300">
                  <c:v>508.39796228290089</c:v>
                </c:pt>
                <c:pt idx="301">
                  <c:v>510.8214313928309</c:v>
                </c:pt>
                <c:pt idx="302">
                  <c:v>513.2406074798746</c:v>
                </c:pt>
                <c:pt idx="303">
                  <c:v>515.65548980708843</c:v>
                </c:pt>
                <c:pt idx="304">
                  <c:v>518.06607078330262</c:v>
                </c:pt>
                <c:pt idx="305">
                  <c:v>520.47233613121614</c:v>
                </c:pt>
                <c:pt idx="306">
                  <c:v>522.87426508355588</c:v>
                </c:pt>
                <c:pt idx="307">
                  <c:v>525.27183060442974</c:v>
                </c:pt>
                <c:pt idx="308">
                  <c:v>527.66499963257172</c:v>
                </c:pt>
                <c:pt idx="309">
                  <c:v>530.0537333429038</c:v>
                </c:pt>
                <c:pt idx="310">
                  <c:v>532.43798742270974</c:v>
                </c:pt>
                <c:pt idx="311">
                  <c:v>534.81771235873168</c:v>
                </c:pt>
                <c:pt idx="312">
                  <c:v>537.19285373163211</c:v>
                </c:pt>
                <c:pt idx="313">
                  <c:v>539.56335251449434</c:v>
                </c:pt>
                <c:pt idx="314">
                  <c:v>541.92914537233764</c:v>
                </c:pt>
                <c:pt idx="315">
                  <c:v>544.29016495996825</c:v>
                </c:pt>
                <c:pt idx="316">
                  <c:v>546.6463402158621</c:v>
                </c:pt>
                <c:pt idx="317">
                  <c:v>548.99759665014653</c:v>
                </c:pt>
                <c:pt idx="318">
                  <c:v>551.34385662511283</c:v>
                </c:pt>
                <c:pt idx="319">
                  <c:v>553.68503962703096</c:v>
                </c:pt>
                <c:pt idx="320">
                  <c:v>556.02106252834596</c:v>
                </c:pt>
                <c:pt idx="321">
                  <c:v>558.3518398396094</c:v>
                </c:pt>
                <c:pt idx="322">
                  <c:v>560.6772839507355</c:v>
                </c:pt>
                <c:pt idx="323">
                  <c:v>562.99730536137247</c:v>
                </c:pt>
                <c:pt idx="324">
                  <c:v>565.31181290034476</c:v>
                </c:pt>
                <c:pt idx="325">
                  <c:v>567.62071393425606</c:v>
                </c:pt>
                <c:pt idx="326">
                  <c:v>569.92391456544863</c:v>
                </c:pt>
                <c:pt idx="327">
                  <c:v>572.2213198195949</c:v>
                </c:pt>
                <c:pt idx="328">
                  <c:v>574.51283382325812</c:v>
                </c:pt>
                <c:pt idx="329">
                  <c:v>576.79835997179919</c:v>
                </c:pt>
                <c:pt idx="330">
                  <c:v>579.07780108803445</c:v>
                </c:pt>
                <c:pt idx="331">
                  <c:v>581.35105957206497</c:v>
                </c:pt>
                <c:pt idx="332">
                  <c:v>583.61803754270181</c:v>
                </c:pt>
                <c:pt idx="333">
                  <c:v>585.87863697091154</c:v>
                </c:pt>
                <c:pt idx="334">
                  <c:v>588.13275980569688</c:v>
                </c:pt>
                <c:pt idx="335">
                  <c:v>590.38030809281736</c:v>
                </c:pt>
                <c:pt idx="336">
                  <c:v>592.62118408673791</c:v>
                </c:pt>
                <c:pt idx="337">
                  <c:v>594.85529035617833</c:v>
                </c:pt>
                <c:pt idx="338">
                  <c:v>597.08252988361608</c:v>
                </c:pt>
                <c:pt idx="339">
                  <c:v>599.3028061590785</c:v>
                </c:pt>
                <c:pt idx="340">
                  <c:v>601.5160232685389</c:v>
                </c:pt>
                <c:pt idx="341">
                  <c:v>603.72208597721396</c:v>
                </c:pt>
                <c:pt idx="342">
                  <c:v>605.92089980803996</c:v>
                </c:pt>
                <c:pt idx="343">
                  <c:v>608.11237111558921</c:v>
                </c:pt>
                <c:pt idx="344">
                  <c:v>610.29640715566859</c:v>
                </c:pt>
                <c:pt idx="345">
                  <c:v>612.47291615082838</c:v>
                </c:pt>
                <c:pt idx="346">
                  <c:v>614.64180735199295</c:v>
                </c:pt>
                <c:pt idx="347">
                  <c:v>616.80299109640964</c:v>
                </c:pt>
                <c:pt idx="348">
                  <c:v>618.95637886210181</c:v>
                </c:pt>
                <c:pt idx="349">
                  <c:v>621.10188331899553</c:v>
                </c:pt>
                <c:pt idx="350">
                  <c:v>623.23941837688176</c:v>
                </c:pt>
                <c:pt idx="351">
                  <c:v>625.36889923036119</c:v>
                </c:pt>
                <c:pt idx="352">
                  <c:v>627.49024240091308</c:v>
                </c:pt>
                <c:pt idx="353">
                  <c:v>629.60336577621661</c:v>
                </c:pt>
                <c:pt idx="354">
                  <c:v>631.70818864684713</c:v>
                </c:pt>
                <c:pt idx="355">
                  <c:v>633.80463174046156</c:v>
                </c:pt>
                <c:pt idx="356">
                  <c:v>635.89261725357881</c:v>
                </c:pt>
                <c:pt idx="357">
                  <c:v>637.97206888105643</c:v>
                </c:pt>
                <c:pt idx="358">
                  <c:v>640.04291184335773</c:v>
                </c:pt>
                <c:pt idx="359">
                  <c:v>642.10507291169733</c:v>
                </c:pt>
                <c:pt idx="360">
                  <c:v>644.15848043115022</c:v>
                </c:pt>
                <c:pt idx="361">
                  <c:v>646.20306434180213</c:v>
                </c:pt>
                <c:pt idx="362">
                  <c:v>648.23875619801765</c:v>
                </c:pt>
                <c:pt idx="363">
                  <c:v>650.26548918589583</c:v>
                </c:pt>
                <c:pt idx="364">
                  <c:v>652.28319813898167</c:v>
                </c:pt>
                <c:pt idx="365">
                  <c:v>654.29181955229774</c:v>
                </c:pt>
                <c:pt idx="366">
                  <c:v>656.29129159475679</c:v>
                </c:pt>
                <c:pt idx="367">
                  <c:v>658.28155412001422</c:v>
                </c:pt>
                <c:pt idx="368">
                  <c:v>660.26254867581702</c:v>
                </c:pt>
                <c:pt idx="369">
                  <c:v>662.23421851190176</c:v>
                </c:pt>
                <c:pt idx="370">
                  <c:v>664.1965085864947</c:v>
                </c:pt>
                <c:pt idx="371">
                  <c:v>666.14936557146279</c:v>
                </c:pt>
                <c:pt idx="372">
                  <c:v>668.09273785616369</c:v>
                </c:pt>
                <c:pt idx="373">
                  <c:v>670.026575550041</c:v>
                </c:pt>
                <c:pt idx="374">
                  <c:v>671.95083048401</c:v>
                </c:pt>
                <c:pt idx="375">
                  <c:v>673.86545621067637</c:v>
                </c:pt>
                <c:pt idx="376">
                  <c:v>675.77040800342991</c:v>
                </c:pt>
                <c:pt idx="377">
                  <c:v>677.66564285445486</c:v>
                </c:pt>
                <c:pt idx="378">
                  <c:v>679.55111947169496</c:v>
                </c:pt>
                <c:pt idx="379">
                  <c:v>681.42679827481334</c:v>
                </c:pt>
                <c:pt idx="380">
                  <c:v>683.29264139018278</c:v>
                </c:pt>
                <c:pt idx="381">
                  <c:v>685.14861264494471</c:v>
                </c:pt>
                <c:pt idx="382">
                  <c:v>686.99467756017134</c:v>
                </c:pt>
                <c:pt idx="383">
                  <c:v>688.8308033431656</c:v>
                </c:pt>
                <c:pt idx="384">
                  <c:v>690.65695887893366</c:v>
                </c:pt>
                <c:pt idx="385">
                  <c:v>692.4731147208621</c:v>
                </c:pt>
                <c:pt idx="386">
                  <c:v>694.27924308063268</c:v>
                </c:pt>
                <c:pt idx="387">
                  <c:v>696.07531781740647</c:v>
                </c:pt>
                <c:pt idx="388">
                  <c:v>697.86131442630756</c:v>
                </c:pt>
                <c:pt idx="389">
                  <c:v>699.63721002623743</c:v>
                </c:pt>
                <c:pt idx="390">
                  <c:v>701.40298334704903</c:v>
                </c:pt>
                <c:pt idx="391">
                  <c:v>703.15861471610958</c:v>
                </c:pt>
                <c:pt idx="392">
                  <c:v>704.90408604428092</c:v>
                </c:pt>
                <c:pt idx="393">
                  <c:v>706.63938081134449</c:v>
                </c:pt>
                <c:pt idx="394">
                  <c:v>708.36448405089891</c:v>
                </c:pt>
                <c:pt idx="395">
                  <c:v>710.07938233475579</c:v>
                </c:pt>
                <c:pt idx="396">
                  <c:v>711.78406375686052</c:v>
                </c:pt>
                <c:pt idx="397">
                  <c:v>713.47851791676317</c:v>
                </c:pt>
                <c:pt idx="398">
                  <c:v>715.16273590266462</c:v>
                </c:pt>
                <c:pt idx="399">
                  <c:v>716.83671027406183</c:v>
                </c:pt>
                <c:pt idx="400">
                  <c:v>718.50043504401651</c:v>
                </c:pt>
                <c:pt idx="401">
                  <c:v>720.15390566107033</c:v>
                </c:pt>
                <c:pt idx="402">
                  <c:v>721.79711899082906</c:v>
                </c:pt>
                <c:pt idx="403">
                  <c:v>723.43007329723844</c:v>
                </c:pt>
                <c:pt idx="404">
                  <c:v>725.05276822357314</c:v>
                </c:pt>
                <c:pt idx="405">
                  <c:v>726.66520477315964</c:v>
                </c:pt>
                <c:pt idx="406">
                  <c:v>728.26738528985436</c:v>
                </c:pt>
                <c:pt idx="407">
                  <c:v>729.85931343829679</c:v>
                </c:pt>
                <c:pt idx="408">
                  <c:v>731.44099418395706</c:v>
                </c:pt>
                <c:pt idx="409">
                  <c:v>733.0124337729975</c:v>
                </c:pt>
                <c:pt idx="410">
                  <c:v>734.57363971196639</c:v>
                </c:pt>
                <c:pt idx="411">
                  <c:v>736.12462074734276</c:v>
                </c:pt>
                <c:pt idx="412">
                  <c:v>737.66538684494822</c:v>
                </c:pt>
                <c:pt idx="413">
                  <c:v>739.1959491692453</c:v>
                </c:pt>
                <c:pt idx="414">
                  <c:v>740.71632006253662</c:v>
                </c:pt>
                <c:pt idx="415">
                  <c:v>742.22651302408303</c:v>
                </c:pt>
                <c:pt idx="416">
                  <c:v>743.72654268915448</c:v>
                </c:pt>
                <c:pt idx="417">
                  <c:v>745.21642480803064</c:v>
                </c:pt>
                <c:pt idx="418">
                  <c:v>746.69617622496457</c:v>
                </c:pt>
                <c:pt idx="419">
                  <c:v>748.16581485712459</c:v>
                </c:pt>
                <c:pt idx="420">
                  <c:v>749.6253596735279</c:v>
                </c:pt>
                <c:pt idx="421">
                  <c:v>751.07483067397891</c:v>
                </c:pt>
                <c:pt idx="422">
                  <c:v>752.51424886802545</c:v>
                </c:pt>
                <c:pt idx="423">
                  <c:v>753.94363625394556</c:v>
                </c:pt>
                <c:pt idx="424">
                  <c:v>755.36301579777671</c:v>
                </c:pt>
                <c:pt idx="425">
                  <c:v>756.77241141239824</c:v>
                </c:pt>
                <c:pt idx="426">
                  <c:v>758.17184793667968</c:v>
                </c:pt>
                <c:pt idx="427">
                  <c:v>759.56135111470394</c:v>
                </c:pt>
                <c:pt idx="428">
                  <c:v>760.94094757507708</c:v>
                </c:pt>
                <c:pt idx="429">
                  <c:v>762.31066481033349</c:v>
                </c:pt>
                <c:pt idx="430">
                  <c:v>763.6705311564466</c:v>
                </c:pt>
                <c:pt idx="431">
                  <c:v>765.02057577245387</c:v>
                </c:pt>
                <c:pt idx="432">
                  <c:v>766.36082862020498</c:v>
                </c:pt>
                <c:pt idx="433">
                  <c:v>767.69132044424111</c:v>
                </c:pt>
                <c:pt idx="434">
                  <c:v>769.01208275181318</c:v>
                </c:pt>
                <c:pt idx="435">
                  <c:v>770.32314779304761</c:v>
                </c:pt>
                <c:pt idx="436">
                  <c:v>771.6245485412652</c:v>
                </c:pt>
                <c:pt idx="437">
                  <c:v>772.91631867346109</c:v>
                </c:pt>
                <c:pt idx="438">
                  <c:v>774.19849255095198</c:v>
                </c:pt>
                <c:pt idx="439">
                  <c:v>775.47110520019601</c:v>
                </c:pt>
                <c:pt idx="440">
                  <c:v>776.73419229379272</c:v>
                </c:pt>
                <c:pt idx="441">
                  <c:v>777.98779013166666</c:v>
                </c:pt>
                <c:pt idx="442">
                  <c:v>779.23193562244069</c:v>
                </c:pt>
                <c:pt idx="443">
                  <c:v>780.46666626500451</c:v>
                </c:pt>
                <c:pt idx="444">
                  <c:v>781.69202013028098</c:v>
                </c:pt>
                <c:pt idx="445">
                  <c:v>782.90803584319679</c:v>
                </c:pt>
                <c:pt idx="446">
                  <c:v>784.11475256485915</c:v>
                </c:pt>
                <c:pt idx="447">
                  <c:v>785.31220997494415</c:v>
                </c:pt>
                <c:pt idx="448">
                  <c:v>786.50044825429848</c:v>
                </c:pt>
                <c:pt idx="449">
                  <c:v>787.67950806775877</c:v>
                </c:pt>
                <c:pt idx="450">
                  <c:v>788.84943054719088</c:v>
                </c:pt>
                <c:pt idx="451">
                  <c:v>790.01025727475167</c:v>
                </c:pt>
                <c:pt idx="452">
                  <c:v>791.16203026637584</c:v>
                </c:pt>
                <c:pt idx="453">
                  <c:v>792.30479195548992</c:v>
                </c:pt>
                <c:pt idx="454">
                  <c:v>793.43858517695492</c:v>
                </c:pt>
                <c:pt idx="455">
                  <c:v>794.56345315123963</c:v>
                </c:pt>
                <c:pt idx="456">
                  <c:v>795.6794394688261</c:v>
                </c:pt>
                <c:pt idx="457">
                  <c:v>796.78658807484828</c:v>
                </c:pt>
                <c:pt idx="458">
                  <c:v>797.88494325396482</c:v>
                </c:pt>
                <c:pt idx="459">
                  <c:v>798.9745496154668</c:v>
                </c:pt>
                <c:pt idx="460">
                  <c:v>800.05545207862156</c:v>
                </c:pt>
                <c:pt idx="461">
                  <c:v>801.12769585825242</c:v>
                </c:pt>
                <c:pt idx="462">
                  <c:v>802.1913264505547</c:v>
                </c:pt>
                <c:pt idx="463">
                  <c:v>803.24638961914877</c:v>
                </c:pt>
                <c:pt idx="464">
                  <c:v>804.29293138136916</c:v>
                </c:pt>
                <c:pt idx="465">
                  <c:v>805.33099799479021</c:v>
                </c:pt>
                <c:pt idx="466">
                  <c:v>806.36063594398763</c:v>
                </c:pt>
                <c:pt idx="467">
                  <c:v>807.38189192753555</c:v>
                </c:pt>
                <c:pt idx="468">
                  <c:v>808.39481284523811</c:v>
                </c:pt>
                <c:pt idx="469">
                  <c:v>809.39944578559562</c:v>
                </c:pt>
                <c:pt idx="470">
                  <c:v>810.39583801350364</c:v>
                </c:pt>
                <c:pt idx="471">
                  <c:v>811.38403695818386</c:v>
                </c:pt>
                <c:pt idx="472">
                  <c:v>812.3640902013467</c:v>
                </c:pt>
                <c:pt idx="473">
                  <c:v>813.33604546558342</c:v>
                </c:pt>
                <c:pt idx="474">
                  <c:v>814.29995060298643</c:v>
                </c:pt>
                <c:pt idx="475">
                  <c:v>815.25585358399701</c:v>
                </c:pt>
                <c:pt idx="476">
                  <c:v>816.20380248647871</c:v>
                </c:pt>
                <c:pt idx="477">
                  <c:v>817.1438454850138</c:v>
                </c:pt>
                <c:pt idx="478">
                  <c:v>818.07603084042307</c:v>
                </c:pt>
                <c:pt idx="479">
                  <c:v>819.00040688950526</c:v>
                </c:pt>
                <c:pt idx="480">
                  <c:v>819.91702203499517</c:v>
                </c:pt>
                <c:pt idx="481">
                  <c:v>820.82592473573891</c:v>
                </c:pt>
                <c:pt idx="482">
                  <c:v>821.7271634970831</c:v>
                </c:pt>
                <c:pt idx="483">
                  <c:v>822.62078686147743</c:v>
                </c:pt>
                <c:pt idx="484">
                  <c:v>823.50684339928705</c:v>
                </c:pt>
                <c:pt idx="485">
                  <c:v>824.38538169981382</c:v>
                </c:pt>
                <c:pt idx="486">
                  <c:v>825.25645036252365</c:v>
                </c:pt>
                <c:pt idx="487">
                  <c:v>826.12009798847737</c:v>
                </c:pt>
                <c:pt idx="488">
                  <c:v>826.97637317196347</c:v>
                </c:pt>
                <c:pt idx="489">
                  <c:v>827.8253244923302</c:v>
                </c:pt>
                <c:pt idx="490">
                  <c:v>828.66700050601457</c:v>
                </c:pt>
                <c:pt idx="491">
                  <c:v>829.50144973876525</c:v>
                </c:pt>
                <c:pt idx="492">
                  <c:v>830.32872067805829</c:v>
                </c:pt>
                <c:pt idx="493">
                  <c:v>831.14886176570212</c:v>
                </c:pt>
                <c:pt idx="494">
                  <c:v>831.96192139062953</c:v>
                </c:pt>
                <c:pt idx="495">
                  <c:v>832.76794788187408</c:v>
                </c:pt>
                <c:pt idx="496">
                  <c:v>833.56698950172938</c:v>
                </c:pt>
                <c:pt idx="497">
                  <c:v>834.35909443908702</c:v>
                </c:pt>
                <c:pt idx="498">
                  <c:v>835.14431080295185</c:v>
                </c:pt>
                <c:pt idx="499">
                  <c:v>835.92268661613173</c:v>
                </c:pt>
                <c:pt idx="500">
                  <c:v>836.69426980909907</c:v>
                </c:pt>
                <c:pt idx="501">
                  <c:v>837.45910821402163</c:v>
                </c:pt>
                <c:pt idx="502">
                  <c:v>838.21724955895991</c:v>
                </c:pt>
                <c:pt idx="503">
                  <c:v>838.96874146222888</c:v>
                </c:pt>
                <c:pt idx="504">
                  <c:v>839.7136314269211</c:v>
                </c:pt>
                <c:pt idx="505">
                  <c:v>839.7136314269211</c:v>
                </c:pt>
                <c:pt idx="506">
                  <c:v>839.7136314269211</c:v>
                </c:pt>
                <c:pt idx="507">
                  <c:v>839.7136314269211</c:v>
                </c:pt>
                <c:pt idx="508">
                  <c:v>839.7136314269211</c:v>
                </c:pt>
                <c:pt idx="509">
                  <c:v>839.7136314269211</c:v>
                </c:pt>
                <c:pt idx="510">
                  <c:v>839.7136314269211</c:v>
                </c:pt>
                <c:pt idx="511">
                  <c:v>839.7136314269211</c:v>
                </c:pt>
                <c:pt idx="512">
                  <c:v>839.7136314269211</c:v>
                </c:pt>
                <c:pt idx="513">
                  <c:v>839.7136314269211</c:v>
                </c:pt>
                <c:pt idx="514">
                  <c:v>839.7136314269211</c:v>
                </c:pt>
                <c:pt idx="515">
                  <c:v>839.7136314269211</c:v>
                </c:pt>
                <c:pt idx="516">
                  <c:v>839.7136314269211</c:v>
                </c:pt>
                <c:pt idx="517">
                  <c:v>839.7136314269211</c:v>
                </c:pt>
                <c:pt idx="518">
                  <c:v>839.7136314269211</c:v>
                </c:pt>
                <c:pt idx="519">
                  <c:v>839.7136314269211</c:v>
                </c:pt>
                <c:pt idx="520">
                  <c:v>839.7136314269211</c:v>
                </c:pt>
                <c:pt idx="521">
                  <c:v>839.7136314269211</c:v>
                </c:pt>
                <c:pt idx="522">
                  <c:v>839.7136314269211</c:v>
                </c:pt>
                <c:pt idx="523">
                  <c:v>839.7136314269211</c:v>
                </c:pt>
                <c:pt idx="524">
                  <c:v>839.7136314269211</c:v>
                </c:pt>
                <c:pt idx="525">
                  <c:v>839.7136314269211</c:v>
                </c:pt>
                <c:pt idx="526">
                  <c:v>839.7136314269211</c:v>
                </c:pt>
                <c:pt idx="527">
                  <c:v>839.7136314269211</c:v>
                </c:pt>
                <c:pt idx="528">
                  <c:v>839.7136314269211</c:v>
                </c:pt>
                <c:pt idx="529">
                  <c:v>839.7136314269211</c:v>
                </c:pt>
                <c:pt idx="530">
                  <c:v>839.7136314269211</c:v>
                </c:pt>
                <c:pt idx="531">
                  <c:v>839.7136314269211</c:v>
                </c:pt>
                <c:pt idx="532">
                  <c:v>839.7136314269211</c:v>
                </c:pt>
                <c:pt idx="533">
                  <c:v>839.7136314269211</c:v>
                </c:pt>
                <c:pt idx="534">
                  <c:v>839.7136314269211</c:v>
                </c:pt>
                <c:pt idx="535">
                  <c:v>839.7136314269211</c:v>
                </c:pt>
                <c:pt idx="536">
                  <c:v>839.7136314269211</c:v>
                </c:pt>
                <c:pt idx="537">
                  <c:v>839.7136314269211</c:v>
                </c:pt>
                <c:pt idx="538">
                  <c:v>839.7136314269211</c:v>
                </c:pt>
                <c:pt idx="539">
                  <c:v>839.7136314269211</c:v>
                </c:pt>
                <c:pt idx="540">
                  <c:v>839.7136314269211</c:v>
                </c:pt>
                <c:pt idx="541">
                  <c:v>839.7136314269211</c:v>
                </c:pt>
                <c:pt idx="542">
                  <c:v>839.7136314269211</c:v>
                </c:pt>
                <c:pt idx="543">
                  <c:v>839.7136314269211</c:v>
                </c:pt>
                <c:pt idx="544">
                  <c:v>839.7136314269211</c:v>
                </c:pt>
                <c:pt idx="545">
                  <c:v>839.7136314269211</c:v>
                </c:pt>
                <c:pt idx="546">
                  <c:v>839.7136314269211</c:v>
                </c:pt>
                <c:pt idx="547">
                  <c:v>839.7136314269211</c:v>
                </c:pt>
                <c:pt idx="548">
                  <c:v>839.7136314269211</c:v>
                </c:pt>
                <c:pt idx="549">
                  <c:v>839.7136314269211</c:v>
                </c:pt>
                <c:pt idx="550">
                  <c:v>839.7136314269211</c:v>
                </c:pt>
                <c:pt idx="551">
                  <c:v>839.7136314269211</c:v>
                </c:pt>
                <c:pt idx="552">
                  <c:v>839.7136314269211</c:v>
                </c:pt>
                <c:pt idx="553">
                  <c:v>839.7136314269211</c:v>
                </c:pt>
                <c:pt idx="554">
                  <c:v>839.7136314269211</c:v>
                </c:pt>
                <c:pt idx="555">
                  <c:v>839.7136314269211</c:v>
                </c:pt>
                <c:pt idx="556">
                  <c:v>839.7136314269211</c:v>
                </c:pt>
                <c:pt idx="557">
                  <c:v>839.7136314269211</c:v>
                </c:pt>
                <c:pt idx="558">
                  <c:v>839.7136314269211</c:v>
                </c:pt>
                <c:pt idx="559">
                  <c:v>839.7136314269211</c:v>
                </c:pt>
                <c:pt idx="560">
                  <c:v>839.7136314269211</c:v>
                </c:pt>
                <c:pt idx="561">
                  <c:v>839.7136314269211</c:v>
                </c:pt>
                <c:pt idx="562">
                  <c:v>839.7136314269211</c:v>
                </c:pt>
                <c:pt idx="563">
                  <c:v>839.7136314269211</c:v>
                </c:pt>
                <c:pt idx="564">
                  <c:v>839.7136314269211</c:v>
                </c:pt>
                <c:pt idx="565">
                  <c:v>839.7136314269211</c:v>
                </c:pt>
                <c:pt idx="566">
                  <c:v>839.7136314269211</c:v>
                </c:pt>
                <c:pt idx="567">
                  <c:v>839.7136314269211</c:v>
                </c:pt>
                <c:pt idx="568">
                  <c:v>839.7136314269211</c:v>
                </c:pt>
                <c:pt idx="569">
                  <c:v>839.7136314269211</c:v>
                </c:pt>
                <c:pt idx="570">
                  <c:v>839.7136314269211</c:v>
                </c:pt>
                <c:pt idx="571">
                  <c:v>839.7136314269211</c:v>
                </c:pt>
                <c:pt idx="572">
                  <c:v>839.7136314269211</c:v>
                </c:pt>
                <c:pt idx="573">
                  <c:v>839.7136314269211</c:v>
                </c:pt>
                <c:pt idx="574">
                  <c:v>839.7136314269211</c:v>
                </c:pt>
                <c:pt idx="575">
                  <c:v>839.7136314269211</c:v>
                </c:pt>
                <c:pt idx="576">
                  <c:v>839.7136314269211</c:v>
                </c:pt>
                <c:pt idx="577">
                  <c:v>839.7136314269211</c:v>
                </c:pt>
                <c:pt idx="578">
                  <c:v>839.7136314269211</c:v>
                </c:pt>
                <c:pt idx="579">
                  <c:v>839.7136314269211</c:v>
                </c:pt>
                <c:pt idx="580">
                  <c:v>839.7136314269211</c:v>
                </c:pt>
                <c:pt idx="581">
                  <c:v>839.7136314269211</c:v>
                </c:pt>
                <c:pt idx="582">
                  <c:v>839.7136314269211</c:v>
                </c:pt>
                <c:pt idx="583">
                  <c:v>839.7136314269211</c:v>
                </c:pt>
                <c:pt idx="584">
                  <c:v>839.7136314269211</c:v>
                </c:pt>
                <c:pt idx="585">
                  <c:v>839.7136314269211</c:v>
                </c:pt>
                <c:pt idx="586">
                  <c:v>839.7136314269211</c:v>
                </c:pt>
                <c:pt idx="587">
                  <c:v>839.7136314269211</c:v>
                </c:pt>
                <c:pt idx="588">
                  <c:v>839.7136314269211</c:v>
                </c:pt>
                <c:pt idx="589">
                  <c:v>839.7136314269211</c:v>
                </c:pt>
                <c:pt idx="590">
                  <c:v>839.7136314269211</c:v>
                </c:pt>
                <c:pt idx="591">
                  <c:v>839.7136314269211</c:v>
                </c:pt>
                <c:pt idx="592">
                  <c:v>839.7136314269211</c:v>
                </c:pt>
                <c:pt idx="593">
                  <c:v>839.7136314269211</c:v>
                </c:pt>
                <c:pt idx="594">
                  <c:v>839.7136314269211</c:v>
                </c:pt>
                <c:pt idx="595">
                  <c:v>839.7136314269211</c:v>
                </c:pt>
                <c:pt idx="596">
                  <c:v>839.7136314269211</c:v>
                </c:pt>
                <c:pt idx="597">
                  <c:v>839.7136314269211</c:v>
                </c:pt>
                <c:pt idx="598">
                  <c:v>839.7136314269211</c:v>
                </c:pt>
                <c:pt idx="599">
                  <c:v>839.7136314269211</c:v>
                </c:pt>
                <c:pt idx="600">
                  <c:v>839.7136314269211</c:v>
                </c:pt>
                <c:pt idx="601">
                  <c:v>839.7136314269211</c:v>
                </c:pt>
                <c:pt idx="602">
                  <c:v>839.7136314269211</c:v>
                </c:pt>
                <c:pt idx="603">
                  <c:v>839.7136314269211</c:v>
                </c:pt>
                <c:pt idx="604">
                  <c:v>839.7136314269211</c:v>
                </c:pt>
                <c:pt idx="605">
                  <c:v>839.7136314269211</c:v>
                </c:pt>
                <c:pt idx="606">
                  <c:v>839.7136314269211</c:v>
                </c:pt>
                <c:pt idx="607">
                  <c:v>839.7136314269211</c:v>
                </c:pt>
                <c:pt idx="608">
                  <c:v>839.7136314269211</c:v>
                </c:pt>
                <c:pt idx="609">
                  <c:v>839.7136314269211</c:v>
                </c:pt>
                <c:pt idx="610">
                  <c:v>839.7136314269211</c:v>
                </c:pt>
                <c:pt idx="611">
                  <c:v>839.7136314269211</c:v>
                </c:pt>
                <c:pt idx="612">
                  <c:v>839.7136314269211</c:v>
                </c:pt>
                <c:pt idx="613">
                  <c:v>839.7136314269211</c:v>
                </c:pt>
                <c:pt idx="614">
                  <c:v>839.7136314269211</c:v>
                </c:pt>
                <c:pt idx="615">
                  <c:v>839.7136314269211</c:v>
                </c:pt>
                <c:pt idx="616">
                  <c:v>839.7136314269211</c:v>
                </c:pt>
                <c:pt idx="617">
                  <c:v>839.7136314269211</c:v>
                </c:pt>
                <c:pt idx="618">
                  <c:v>839.7136314269211</c:v>
                </c:pt>
                <c:pt idx="619">
                  <c:v>839.7136314269211</c:v>
                </c:pt>
                <c:pt idx="620">
                  <c:v>839.7136314269211</c:v>
                </c:pt>
                <c:pt idx="621">
                  <c:v>839.7136314269211</c:v>
                </c:pt>
                <c:pt idx="622">
                  <c:v>839.7136314269211</c:v>
                </c:pt>
                <c:pt idx="623">
                  <c:v>839.7136314269211</c:v>
                </c:pt>
                <c:pt idx="624">
                  <c:v>839.7136314269211</c:v>
                </c:pt>
                <c:pt idx="625">
                  <c:v>839.7136314269211</c:v>
                </c:pt>
                <c:pt idx="626">
                  <c:v>839.7136314269211</c:v>
                </c:pt>
                <c:pt idx="627">
                  <c:v>839.7136314269211</c:v>
                </c:pt>
                <c:pt idx="628">
                  <c:v>839.7136314269211</c:v>
                </c:pt>
                <c:pt idx="629">
                  <c:v>839.7136314269211</c:v>
                </c:pt>
                <c:pt idx="630">
                  <c:v>839.7136314269211</c:v>
                </c:pt>
                <c:pt idx="631">
                  <c:v>839.7136314269211</c:v>
                </c:pt>
                <c:pt idx="632">
                  <c:v>839.7136314269211</c:v>
                </c:pt>
                <c:pt idx="633">
                  <c:v>839.7136314269211</c:v>
                </c:pt>
                <c:pt idx="634">
                  <c:v>839.7136314269211</c:v>
                </c:pt>
                <c:pt idx="635">
                  <c:v>839.7136314269211</c:v>
                </c:pt>
                <c:pt idx="636">
                  <c:v>839.7136314269211</c:v>
                </c:pt>
                <c:pt idx="637">
                  <c:v>839.7136314269211</c:v>
                </c:pt>
                <c:pt idx="638">
                  <c:v>839.7136314269211</c:v>
                </c:pt>
                <c:pt idx="639">
                  <c:v>839.7136314269211</c:v>
                </c:pt>
                <c:pt idx="640">
                  <c:v>839.7136314269211</c:v>
                </c:pt>
                <c:pt idx="641">
                  <c:v>839.7136314269211</c:v>
                </c:pt>
                <c:pt idx="642">
                  <c:v>839.7136314269211</c:v>
                </c:pt>
                <c:pt idx="643">
                  <c:v>839.7136314269211</c:v>
                </c:pt>
                <c:pt idx="644">
                  <c:v>839.7136314269211</c:v>
                </c:pt>
                <c:pt idx="645">
                  <c:v>839.7136314269211</c:v>
                </c:pt>
                <c:pt idx="646">
                  <c:v>839.7136314269211</c:v>
                </c:pt>
                <c:pt idx="647">
                  <c:v>839.7136314269211</c:v>
                </c:pt>
                <c:pt idx="648">
                  <c:v>839.7136314269211</c:v>
                </c:pt>
                <c:pt idx="649">
                  <c:v>839.7136314269211</c:v>
                </c:pt>
                <c:pt idx="650">
                  <c:v>839.7136314269211</c:v>
                </c:pt>
                <c:pt idx="651">
                  <c:v>839.7136314269211</c:v>
                </c:pt>
                <c:pt idx="652">
                  <c:v>839.7136314269211</c:v>
                </c:pt>
                <c:pt idx="653">
                  <c:v>839.7136314269211</c:v>
                </c:pt>
                <c:pt idx="654">
                  <c:v>839.7136314269211</c:v>
                </c:pt>
                <c:pt idx="655">
                  <c:v>839.7136314269211</c:v>
                </c:pt>
                <c:pt idx="656">
                  <c:v>839.7136314269211</c:v>
                </c:pt>
                <c:pt idx="657">
                  <c:v>839.7136314269211</c:v>
                </c:pt>
                <c:pt idx="658">
                  <c:v>839.7136314269211</c:v>
                </c:pt>
                <c:pt idx="659">
                  <c:v>839.7136314269211</c:v>
                </c:pt>
                <c:pt idx="660">
                  <c:v>839.7136314269211</c:v>
                </c:pt>
                <c:pt idx="661">
                  <c:v>839.7136314269211</c:v>
                </c:pt>
                <c:pt idx="662">
                  <c:v>839.7136314269211</c:v>
                </c:pt>
                <c:pt idx="663">
                  <c:v>839.7136314269211</c:v>
                </c:pt>
                <c:pt idx="664">
                  <c:v>839.7136314269211</c:v>
                </c:pt>
                <c:pt idx="665">
                  <c:v>839.7136314269211</c:v>
                </c:pt>
                <c:pt idx="666">
                  <c:v>839.7136314269211</c:v>
                </c:pt>
                <c:pt idx="667">
                  <c:v>839.7136314269211</c:v>
                </c:pt>
                <c:pt idx="668">
                  <c:v>839.7136314269211</c:v>
                </c:pt>
                <c:pt idx="669">
                  <c:v>839.7136314269211</c:v>
                </c:pt>
                <c:pt idx="670">
                  <c:v>839.7136314269211</c:v>
                </c:pt>
                <c:pt idx="671">
                  <c:v>839.7136314269211</c:v>
                </c:pt>
                <c:pt idx="672">
                  <c:v>839.7136314269211</c:v>
                </c:pt>
                <c:pt idx="673">
                  <c:v>839.7136314269211</c:v>
                </c:pt>
                <c:pt idx="674">
                  <c:v>839.7136314269211</c:v>
                </c:pt>
                <c:pt idx="675">
                  <c:v>839.7136314269211</c:v>
                </c:pt>
                <c:pt idx="676">
                  <c:v>839.7136314269211</c:v>
                </c:pt>
                <c:pt idx="677">
                  <c:v>839.7136314269211</c:v>
                </c:pt>
                <c:pt idx="678">
                  <c:v>839.7136314269211</c:v>
                </c:pt>
                <c:pt idx="679">
                  <c:v>839.7136314269211</c:v>
                </c:pt>
                <c:pt idx="680">
                  <c:v>839.7136314269211</c:v>
                </c:pt>
                <c:pt idx="681">
                  <c:v>839.7136314269211</c:v>
                </c:pt>
                <c:pt idx="682">
                  <c:v>839.7136314269211</c:v>
                </c:pt>
                <c:pt idx="683">
                  <c:v>839.7136314269211</c:v>
                </c:pt>
                <c:pt idx="684">
                  <c:v>839.7136314269211</c:v>
                </c:pt>
                <c:pt idx="685">
                  <c:v>839.7136314269211</c:v>
                </c:pt>
                <c:pt idx="686">
                  <c:v>839.7136314269211</c:v>
                </c:pt>
                <c:pt idx="687">
                  <c:v>839.7136314269211</c:v>
                </c:pt>
                <c:pt idx="688">
                  <c:v>839.7136314269211</c:v>
                </c:pt>
                <c:pt idx="689">
                  <c:v>839.7136314269211</c:v>
                </c:pt>
                <c:pt idx="690">
                  <c:v>839.7136314269211</c:v>
                </c:pt>
                <c:pt idx="691">
                  <c:v>839.7136314269211</c:v>
                </c:pt>
                <c:pt idx="692">
                  <c:v>839.7136314269211</c:v>
                </c:pt>
                <c:pt idx="693">
                  <c:v>839.7136314269211</c:v>
                </c:pt>
                <c:pt idx="694">
                  <c:v>839.7136314269211</c:v>
                </c:pt>
                <c:pt idx="695">
                  <c:v>839.7136314269211</c:v>
                </c:pt>
                <c:pt idx="696">
                  <c:v>839.7136314269211</c:v>
                </c:pt>
                <c:pt idx="697">
                  <c:v>839.7136314269211</c:v>
                </c:pt>
                <c:pt idx="698">
                  <c:v>839.7136314269211</c:v>
                </c:pt>
                <c:pt idx="699">
                  <c:v>839.7136314269211</c:v>
                </c:pt>
                <c:pt idx="700">
                  <c:v>839.7136314269211</c:v>
                </c:pt>
                <c:pt idx="701">
                  <c:v>839.7136314269211</c:v>
                </c:pt>
                <c:pt idx="702">
                  <c:v>839.7136314269211</c:v>
                </c:pt>
                <c:pt idx="703">
                  <c:v>839.7136314269211</c:v>
                </c:pt>
                <c:pt idx="704">
                  <c:v>839.7136314269211</c:v>
                </c:pt>
                <c:pt idx="705">
                  <c:v>839.7136314269211</c:v>
                </c:pt>
                <c:pt idx="706">
                  <c:v>839.7136314269211</c:v>
                </c:pt>
                <c:pt idx="707">
                  <c:v>839.7136314269211</c:v>
                </c:pt>
                <c:pt idx="708">
                  <c:v>839.7136314269211</c:v>
                </c:pt>
                <c:pt idx="709">
                  <c:v>839.7136314269211</c:v>
                </c:pt>
                <c:pt idx="710">
                  <c:v>839.7136314269211</c:v>
                </c:pt>
                <c:pt idx="711">
                  <c:v>839.7136314269211</c:v>
                </c:pt>
                <c:pt idx="712">
                  <c:v>839.7136314269211</c:v>
                </c:pt>
                <c:pt idx="713">
                  <c:v>839.7136314269211</c:v>
                </c:pt>
                <c:pt idx="714">
                  <c:v>839.7136314269211</c:v>
                </c:pt>
                <c:pt idx="715">
                  <c:v>839.7136314269211</c:v>
                </c:pt>
                <c:pt idx="716">
                  <c:v>839.7136314269211</c:v>
                </c:pt>
                <c:pt idx="717">
                  <c:v>839.7136314269211</c:v>
                </c:pt>
                <c:pt idx="718">
                  <c:v>839.7136314269211</c:v>
                </c:pt>
                <c:pt idx="719">
                  <c:v>839.7136314269211</c:v>
                </c:pt>
                <c:pt idx="720">
                  <c:v>839.7136314269211</c:v>
                </c:pt>
                <c:pt idx="721">
                  <c:v>839.7136314269211</c:v>
                </c:pt>
                <c:pt idx="722">
                  <c:v>839.7136314269211</c:v>
                </c:pt>
                <c:pt idx="723">
                  <c:v>839.7136314269211</c:v>
                </c:pt>
                <c:pt idx="724">
                  <c:v>839.7136314269211</c:v>
                </c:pt>
                <c:pt idx="725">
                  <c:v>839.7136314269211</c:v>
                </c:pt>
                <c:pt idx="726">
                  <c:v>839.7136314269211</c:v>
                </c:pt>
                <c:pt idx="727">
                  <c:v>839.7136314269211</c:v>
                </c:pt>
                <c:pt idx="728">
                  <c:v>839.7136314269211</c:v>
                </c:pt>
                <c:pt idx="729">
                  <c:v>839.7136314269211</c:v>
                </c:pt>
                <c:pt idx="730">
                  <c:v>839.7136314269211</c:v>
                </c:pt>
                <c:pt idx="731">
                  <c:v>839.7136314269211</c:v>
                </c:pt>
                <c:pt idx="732">
                  <c:v>839.7136314269211</c:v>
                </c:pt>
                <c:pt idx="733">
                  <c:v>839.7136314269211</c:v>
                </c:pt>
                <c:pt idx="734">
                  <c:v>839.7136314269211</c:v>
                </c:pt>
                <c:pt idx="735">
                  <c:v>839.7136314269211</c:v>
                </c:pt>
                <c:pt idx="736">
                  <c:v>839.7136314269211</c:v>
                </c:pt>
                <c:pt idx="737">
                  <c:v>839.7136314269211</c:v>
                </c:pt>
                <c:pt idx="738">
                  <c:v>839.7136314269211</c:v>
                </c:pt>
                <c:pt idx="739">
                  <c:v>839.7136314269211</c:v>
                </c:pt>
                <c:pt idx="740">
                  <c:v>839.7136314269211</c:v>
                </c:pt>
                <c:pt idx="741">
                  <c:v>839.7136314269211</c:v>
                </c:pt>
                <c:pt idx="742">
                  <c:v>839.7136314269211</c:v>
                </c:pt>
                <c:pt idx="743">
                  <c:v>839.7136314269211</c:v>
                </c:pt>
                <c:pt idx="744">
                  <c:v>839.7136314269211</c:v>
                </c:pt>
                <c:pt idx="745">
                  <c:v>839.7136314269211</c:v>
                </c:pt>
                <c:pt idx="746">
                  <c:v>839.7136314269211</c:v>
                </c:pt>
                <c:pt idx="747">
                  <c:v>839.7136314269211</c:v>
                </c:pt>
                <c:pt idx="748">
                  <c:v>839.7136314269211</c:v>
                </c:pt>
                <c:pt idx="749">
                  <c:v>839.7136314269211</c:v>
                </c:pt>
                <c:pt idx="750">
                  <c:v>839.7136314269211</c:v>
                </c:pt>
                <c:pt idx="751">
                  <c:v>839.7136314269211</c:v>
                </c:pt>
                <c:pt idx="752">
                  <c:v>839.7136314269211</c:v>
                </c:pt>
                <c:pt idx="753">
                  <c:v>839.7136314269211</c:v>
                </c:pt>
                <c:pt idx="754">
                  <c:v>839.7136314269211</c:v>
                </c:pt>
                <c:pt idx="755">
                  <c:v>839.7136314269211</c:v>
                </c:pt>
                <c:pt idx="756">
                  <c:v>839.7136314269211</c:v>
                </c:pt>
                <c:pt idx="757">
                  <c:v>839.7136314269211</c:v>
                </c:pt>
                <c:pt idx="758">
                  <c:v>839.7136314269211</c:v>
                </c:pt>
                <c:pt idx="759">
                  <c:v>839.7136314269211</c:v>
                </c:pt>
                <c:pt idx="760">
                  <c:v>839.7136314269211</c:v>
                </c:pt>
                <c:pt idx="761">
                  <c:v>839.7136314269211</c:v>
                </c:pt>
                <c:pt idx="762">
                  <c:v>839.7136314269211</c:v>
                </c:pt>
                <c:pt idx="763">
                  <c:v>839.7136314269211</c:v>
                </c:pt>
                <c:pt idx="764">
                  <c:v>839.7136314269211</c:v>
                </c:pt>
                <c:pt idx="765">
                  <c:v>839.7136314269211</c:v>
                </c:pt>
                <c:pt idx="766">
                  <c:v>839.7136314269211</c:v>
                </c:pt>
                <c:pt idx="767">
                  <c:v>839.7136314269211</c:v>
                </c:pt>
                <c:pt idx="768">
                  <c:v>839.7136314269211</c:v>
                </c:pt>
                <c:pt idx="769">
                  <c:v>839.7136314269211</c:v>
                </c:pt>
                <c:pt idx="770">
                  <c:v>839.7136314269211</c:v>
                </c:pt>
                <c:pt idx="771">
                  <c:v>839.7136314269211</c:v>
                </c:pt>
                <c:pt idx="772">
                  <c:v>839.7136314269211</c:v>
                </c:pt>
                <c:pt idx="773">
                  <c:v>839.7136314269211</c:v>
                </c:pt>
                <c:pt idx="774">
                  <c:v>839.7136314269211</c:v>
                </c:pt>
                <c:pt idx="775">
                  <c:v>839.7136314269211</c:v>
                </c:pt>
                <c:pt idx="776">
                  <c:v>839.7136314269211</c:v>
                </c:pt>
                <c:pt idx="777">
                  <c:v>839.7136314269211</c:v>
                </c:pt>
                <c:pt idx="778">
                  <c:v>839.7136314269211</c:v>
                </c:pt>
                <c:pt idx="779">
                  <c:v>839.7136314269211</c:v>
                </c:pt>
                <c:pt idx="780">
                  <c:v>839.7136314269211</c:v>
                </c:pt>
                <c:pt idx="781">
                  <c:v>839.7136314269211</c:v>
                </c:pt>
                <c:pt idx="782">
                  <c:v>839.7136314269211</c:v>
                </c:pt>
                <c:pt idx="783">
                  <c:v>839.7136314269211</c:v>
                </c:pt>
                <c:pt idx="784">
                  <c:v>839.7136314269211</c:v>
                </c:pt>
                <c:pt idx="785">
                  <c:v>839.7136314269211</c:v>
                </c:pt>
                <c:pt idx="786">
                  <c:v>839.7136314269211</c:v>
                </c:pt>
                <c:pt idx="787">
                  <c:v>839.7136314269211</c:v>
                </c:pt>
                <c:pt idx="788">
                  <c:v>839.7136314269211</c:v>
                </c:pt>
                <c:pt idx="789">
                  <c:v>839.7136314269211</c:v>
                </c:pt>
                <c:pt idx="790">
                  <c:v>839.7136314269211</c:v>
                </c:pt>
                <c:pt idx="791">
                  <c:v>839.7136314269211</c:v>
                </c:pt>
                <c:pt idx="792">
                  <c:v>839.7136314269211</c:v>
                </c:pt>
                <c:pt idx="793">
                  <c:v>839.7136314269211</c:v>
                </c:pt>
                <c:pt idx="794">
                  <c:v>839.7136314269211</c:v>
                </c:pt>
                <c:pt idx="795">
                  <c:v>839.7136314269211</c:v>
                </c:pt>
                <c:pt idx="796">
                  <c:v>839.7136314269211</c:v>
                </c:pt>
                <c:pt idx="797">
                  <c:v>839.7136314269211</c:v>
                </c:pt>
                <c:pt idx="798">
                  <c:v>839.7136314269211</c:v>
                </c:pt>
                <c:pt idx="799">
                  <c:v>839.7136314269211</c:v>
                </c:pt>
                <c:pt idx="800">
                  <c:v>839.7136314269211</c:v>
                </c:pt>
                <c:pt idx="801">
                  <c:v>839.7136314269211</c:v>
                </c:pt>
                <c:pt idx="802">
                  <c:v>839.7136314269211</c:v>
                </c:pt>
                <c:pt idx="803">
                  <c:v>839.7136314269211</c:v>
                </c:pt>
                <c:pt idx="804">
                  <c:v>839.7136314269211</c:v>
                </c:pt>
                <c:pt idx="805">
                  <c:v>839.7136314269211</c:v>
                </c:pt>
                <c:pt idx="806">
                  <c:v>839.7136314269211</c:v>
                </c:pt>
                <c:pt idx="807">
                  <c:v>839.7136314269211</c:v>
                </c:pt>
                <c:pt idx="808">
                  <c:v>839.7136314269211</c:v>
                </c:pt>
                <c:pt idx="809">
                  <c:v>839.7136314269211</c:v>
                </c:pt>
                <c:pt idx="810">
                  <c:v>839.7136314269211</c:v>
                </c:pt>
                <c:pt idx="811">
                  <c:v>839.7136314269211</c:v>
                </c:pt>
                <c:pt idx="812">
                  <c:v>839.7136314269211</c:v>
                </c:pt>
                <c:pt idx="813">
                  <c:v>839.7136314269211</c:v>
                </c:pt>
                <c:pt idx="814">
                  <c:v>839.7136314269211</c:v>
                </c:pt>
                <c:pt idx="815">
                  <c:v>839.7136314269211</c:v>
                </c:pt>
                <c:pt idx="816">
                  <c:v>839.7136314269211</c:v>
                </c:pt>
                <c:pt idx="817">
                  <c:v>839.7136314269211</c:v>
                </c:pt>
                <c:pt idx="818">
                  <c:v>839.7136314269211</c:v>
                </c:pt>
                <c:pt idx="819">
                  <c:v>839.7136314269211</c:v>
                </c:pt>
                <c:pt idx="820">
                  <c:v>839.7136314269211</c:v>
                </c:pt>
                <c:pt idx="821">
                  <c:v>839.7136314269211</c:v>
                </c:pt>
                <c:pt idx="822">
                  <c:v>839.7136314269211</c:v>
                </c:pt>
                <c:pt idx="823">
                  <c:v>839.7136314269211</c:v>
                </c:pt>
                <c:pt idx="824">
                  <c:v>839.7136314269211</c:v>
                </c:pt>
                <c:pt idx="825">
                  <c:v>839.7136314269211</c:v>
                </c:pt>
                <c:pt idx="826">
                  <c:v>839.7136314269211</c:v>
                </c:pt>
                <c:pt idx="827">
                  <c:v>839.7136314269211</c:v>
                </c:pt>
                <c:pt idx="828">
                  <c:v>839.7136314269211</c:v>
                </c:pt>
                <c:pt idx="829">
                  <c:v>839.7136314269211</c:v>
                </c:pt>
                <c:pt idx="830">
                  <c:v>839.7136314269211</c:v>
                </c:pt>
                <c:pt idx="831">
                  <c:v>839.7136314269211</c:v>
                </c:pt>
                <c:pt idx="832">
                  <c:v>839.7136314269211</c:v>
                </c:pt>
                <c:pt idx="833">
                  <c:v>839.7136314269211</c:v>
                </c:pt>
                <c:pt idx="834">
                  <c:v>839.7136314269211</c:v>
                </c:pt>
                <c:pt idx="835">
                  <c:v>839.7136314269211</c:v>
                </c:pt>
                <c:pt idx="836">
                  <c:v>839.7136314269211</c:v>
                </c:pt>
                <c:pt idx="837">
                  <c:v>839.7136314269211</c:v>
                </c:pt>
                <c:pt idx="838">
                  <c:v>839.7136314269211</c:v>
                </c:pt>
                <c:pt idx="839">
                  <c:v>839.7136314269211</c:v>
                </c:pt>
                <c:pt idx="840">
                  <c:v>839.7136314269211</c:v>
                </c:pt>
                <c:pt idx="841">
                  <c:v>839.7136314269211</c:v>
                </c:pt>
                <c:pt idx="842">
                  <c:v>839.7136314269211</c:v>
                </c:pt>
                <c:pt idx="843">
                  <c:v>839.7136314269211</c:v>
                </c:pt>
                <c:pt idx="844">
                  <c:v>839.7136314269211</c:v>
                </c:pt>
                <c:pt idx="845">
                  <c:v>839.7136314269211</c:v>
                </c:pt>
                <c:pt idx="846">
                  <c:v>839.7136314269211</c:v>
                </c:pt>
                <c:pt idx="847">
                  <c:v>839.7136314269211</c:v>
                </c:pt>
                <c:pt idx="848">
                  <c:v>839.7136314269211</c:v>
                </c:pt>
                <c:pt idx="849">
                  <c:v>839.7136314269211</c:v>
                </c:pt>
                <c:pt idx="850">
                  <c:v>839.7136314269211</c:v>
                </c:pt>
                <c:pt idx="851">
                  <c:v>839.7136314269211</c:v>
                </c:pt>
                <c:pt idx="852">
                  <c:v>839.7136314269211</c:v>
                </c:pt>
                <c:pt idx="853">
                  <c:v>839.7136314269211</c:v>
                </c:pt>
                <c:pt idx="854">
                  <c:v>839.7136314269211</c:v>
                </c:pt>
                <c:pt idx="855">
                  <c:v>839.7136314269211</c:v>
                </c:pt>
                <c:pt idx="856">
                  <c:v>839.7136314269211</c:v>
                </c:pt>
                <c:pt idx="857">
                  <c:v>839.7136314269211</c:v>
                </c:pt>
                <c:pt idx="858">
                  <c:v>839.7136314269211</c:v>
                </c:pt>
                <c:pt idx="859">
                  <c:v>839.7136314269211</c:v>
                </c:pt>
                <c:pt idx="860">
                  <c:v>839.7136314269211</c:v>
                </c:pt>
                <c:pt idx="861">
                  <c:v>839.7136314269211</c:v>
                </c:pt>
                <c:pt idx="862">
                  <c:v>839.7136314269211</c:v>
                </c:pt>
                <c:pt idx="863">
                  <c:v>839.7136314269211</c:v>
                </c:pt>
                <c:pt idx="864">
                  <c:v>839.7136314269211</c:v>
                </c:pt>
                <c:pt idx="865">
                  <c:v>839.7136314269211</c:v>
                </c:pt>
                <c:pt idx="866">
                  <c:v>839.7136314269211</c:v>
                </c:pt>
                <c:pt idx="867">
                  <c:v>839.7136314269211</c:v>
                </c:pt>
                <c:pt idx="868">
                  <c:v>839.7136314269211</c:v>
                </c:pt>
                <c:pt idx="869">
                  <c:v>839.7136314269211</c:v>
                </c:pt>
                <c:pt idx="870">
                  <c:v>839.7136314269211</c:v>
                </c:pt>
                <c:pt idx="871">
                  <c:v>839.7136314269211</c:v>
                </c:pt>
                <c:pt idx="872">
                  <c:v>839.7136314269211</c:v>
                </c:pt>
                <c:pt idx="873">
                  <c:v>839.7136314269211</c:v>
                </c:pt>
                <c:pt idx="874">
                  <c:v>839.7136314269211</c:v>
                </c:pt>
                <c:pt idx="875">
                  <c:v>839.7136314269211</c:v>
                </c:pt>
                <c:pt idx="876">
                  <c:v>839.7136314269211</c:v>
                </c:pt>
                <c:pt idx="877">
                  <c:v>839.7136314269211</c:v>
                </c:pt>
                <c:pt idx="878">
                  <c:v>839.7136314269211</c:v>
                </c:pt>
                <c:pt idx="879">
                  <c:v>839.7136314269211</c:v>
                </c:pt>
                <c:pt idx="880">
                  <c:v>839.7136314269211</c:v>
                </c:pt>
                <c:pt idx="881">
                  <c:v>839.7136314269211</c:v>
                </c:pt>
                <c:pt idx="882">
                  <c:v>839.7136314269211</c:v>
                </c:pt>
                <c:pt idx="883">
                  <c:v>839.7136314269211</c:v>
                </c:pt>
                <c:pt idx="884">
                  <c:v>839.7136314269211</c:v>
                </c:pt>
                <c:pt idx="885">
                  <c:v>839.7136314269211</c:v>
                </c:pt>
                <c:pt idx="886">
                  <c:v>839.7136314269211</c:v>
                </c:pt>
                <c:pt idx="887">
                  <c:v>839.7136314269211</c:v>
                </c:pt>
                <c:pt idx="888">
                  <c:v>839.7136314269211</c:v>
                </c:pt>
                <c:pt idx="889">
                  <c:v>839.7136314269211</c:v>
                </c:pt>
                <c:pt idx="890">
                  <c:v>839.7136314269211</c:v>
                </c:pt>
                <c:pt idx="891">
                  <c:v>839.7136314269211</c:v>
                </c:pt>
                <c:pt idx="892">
                  <c:v>839.7136314269211</c:v>
                </c:pt>
                <c:pt idx="893">
                  <c:v>839.7136314269211</c:v>
                </c:pt>
                <c:pt idx="894">
                  <c:v>839.7136314269211</c:v>
                </c:pt>
                <c:pt idx="895">
                  <c:v>839.7136314269211</c:v>
                </c:pt>
                <c:pt idx="896">
                  <c:v>839.7136314269211</c:v>
                </c:pt>
                <c:pt idx="897">
                  <c:v>839.7136314269211</c:v>
                </c:pt>
                <c:pt idx="898">
                  <c:v>839.7136314269211</c:v>
                </c:pt>
                <c:pt idx="899">
                  <c:v>839.7136314269211</c:v>
                </c:pt>
                <c:pt idx="900">
                  <c:v>839.7136314269211</c:v>
                </c:pt>
                <c:pt idx="901">
                  <c:v>839.7136314269211</c:v>
                </c:pt>
                <c:pt idx="902">
                  <c:v>839.7136314269211</c:v>
                </c:pt>
                <c:pt idx="903">
                  <c:v>839.7136314269211</c:v>
                </c:pt>
                <c:pt idx="904">
                  <c:v>839.7136314269211</c:v>
                </c:pt>
                <c:pt idx="905">
                  <c:v>839.7136314269211</c:v>
                </c:pt>
                <c:pt idx="906">
                  <c:v>839.7136314269211</c:v>
                </c:pt>
                <c:pt idx="907">
                  <c:v>839.7136314269211</c:v>
                </c:pt>
                <c:pt idx="908">
                  <c:v>839.7136314269211</c:v>
                </c:pt>
                <c:pt idx="909">
                  <c:v>839.7136314269211</c:v>
                </c:pt>
                <c:pt idx="910">
                  <c:v>839.7136314269211</c:v>
                </c:pt>
                <c:pt idx="911">
                  <c:v>839.7136314269211</c:v>
                </c:pt>
                <c:pt idx="912">
                  <c:v>839.7136314269211</c:v>
                </c:pt>
                <c:pt idx="913">
                  <c:v>839.7136314269211</c:v>
                </c:pt>
                <c:pt idx="914">
                  <c:v>839.7136314269211</c:v>
                </c:pt>
                <c:pt idx="915">
                  <c:v>839.7136314269211</c:v>
                </c:pt>
                <c:pt idx="916">
                  <c:v>839.7136314269211</c:v>
                </c:pt>
                <c:pt idx="917">
                  <c:v>839.7136314269211</c:v>
                </c:pt>
                <c:pt idx="918">
                  <c:v>839.7136314269211</c:v>
                </c:pt>
                <c:pt idx="919">
                  <c:v>839.7136314269211</c:v>
                </c:pt>
                <c:pt idx="920">
                  <c:v>839.7136314269211</c:v>
                </c:pt>
                <c:pt idx="921">
                  <c:v>839.7136314269211</c:v>
                </c:pt>
                <c:pt idx="922">
                  <c:v>839.7136314269211</c:v>
                </c:pt>
                <c:pt idx="923">
                  <c:v>839.7136314269211</c:v>
                </c:pt>
                <c:pt idx="924">
                  <c:v>839.7136314269211</c:v>
                </c:pt>
                <c:pt idx="925">
                  <c:v>839.7136314269211</c:v>
                </c:pt>
                <c:pt idx="926">
                  <c:v>839.7136314269211</c:v>
                </c:pt>
                <c:pt idx="927">
                  <c:v>839.7136314269211</c:v>
                </c:pt>
                <c:pt idx="928">
                  <c:v>839.7136314269211</c:v>
                </c:pt>
                <c:pt idx="929">
                  <c:v>839.7136314269211</c:v>
                </c:pt>
                <c:pt idx="930">
                  <c:v>839.7136314269211</c:v>
                </c:pt>
                <c:pt idx="931">
                  <c:v>839.7136314269211</c:v>
                </c:pt>
                <c:pt idx="932">
                  <c:v>839.7136314269211</c:v>
                </c:pt>
                <c:pt idx="933">
                  <c:v>839.7136314269211</c:v>
                </c:pt>
                <c:pt idx="934">
                  <c:v>839.7136314269211</c:v>
                </c:pt>
                <c:pt idx="935">
                  <c:v>839.7136314269211</c:v>
                </c:pt>
                <c:pt idx="936">
                  <c:v>839.7136314269211</c:v>
                </c:pt>
                <c:pt idx="937">
                  <c:v>839.7136314269211</c:v>
                </c:pt>
                <c:pt idx="938">
                  <c:v>839.7136314269211</c:v>
                </c:pt>
                <c:pt idx="939">
                  <c:v>839.7136314269211</c:v>
                </c:pt>
                <c:pt idx="940">
                  <c:v>839.7136314269211</c:v>
                </c:pt>
                <c:pt idx="941">
                  <c:v>839.7136314269211</c:v>
                </c:pt>
                <c:pt idx="942">
                  <c:v>839.7136314269211</c:v>
                </c:pt>
                <c:pt idx="943">
                  <c:v>839.7136314269211</c:v>
                </c:pt>
                <c:pt idx="944">
                  <c:v>839.7136314269211</c:v>
                </c:pt>
                <c:pt idx="945">
                  <c:v>839.7136314269211</c:v>
                </c:pt>
                <c:pt idx="946">
                  <c:v>839.7136314269211</c:v>
                </c:pt>
                <c:pt idx="947">
                  <c:v>839.7136314269211</c:v>
                </c:pt>
                <c:pt idx="948">
                  <c:v>839.7136314269211</c:v>
                </c:pt>
                <c:pt idx="949">
                  <c:v>839.7136314269211</c:v>
                </c:pt>
                <c:pt idx="950">
                  <c:v>839.7136314269211</c:v>
                </c:pt>
                <c:pt idx="951">
                  <c:v>839.7136314269211</c:v>
                </c:pt>
                <c:pt idx="952">
                  <c:v>839.7136314269211</c:v>
                </c:pt>
                <c:pt idx="953">
                  <c:v>839.7136314269211</c:v>
                </c:pt>
                <c:pt idx="954">
                  <c:v>839.7136314269211</c:v>
                </c:pt>
                <c:pt idx="955">
                  <c:v>839.7136314269211</c:v>
                </c:pt>
                <c:pt idx="956">
                  <c:v>839.7136314269211</c:v>
                </c:pt>
                <c:pt idx="957">
                  <c:v>839.7136314269211</c:v>
                </c:pt>
                <c:pt idx="958">
                  <c:v>839.7136314269211</c:v>
                </c:pt>
                <c:pt idx="959">
                  <c:v>839.7136314269211</c:v>
                </c:pt>
                <c:pt idx="960">
                  <c:v>839.7136314269211</c:v>
                </c:pt>
                <c:pt idx="961">
                  <c:v>839.7136314269211</c:v>
                </c:pt>
                <c:pt idx="962">
                  <c:v>839.7136314269211</c:v>
                </c:pt>
                <c:pt idx="963">
                  <c:v>839.7136314269211</c:v>
                </c:pt>
                <c:pt idx="964">
                  <c:v>839.7136314269211</c:v>
                </c:pt>
                <c:pt idx="965">
                  <c:v>839.7136314269211</c:v>
                </c:pt>
                <c:pt idx="966">
                  <c:v>839.7136314269211</c:v>
                </c:pt>
                <c:pt idx="967">
                  <c:v>839.7136314269211</c:v>
                </c:pt>
                <c:pt idx="968">
                  <c:v>839.7136314269211</c:v>
                </c:pt>
                <c:pt idx="969">
                  <c:v>839.7136314269211</c:v>
                </c:pt>
                <c:pt idx="970">
                  <c:v>839.7136314269211</c:v>
                </c:pt>
                <c:pt idx="971">
                  <c:v>839.7136314269211</c:v>
                </c:pt>
                <c:pt idx="972">
                  <c:v>839.7136314269211</c:v>
                </c:pt>
                <c:pt idx="973">
                  <c:v>839.7136314269211</c:v>
                </c:pt>
                <c:pt idx="974">
                  <c:v>839.7136314269211</c:v>
                </c:pt>
                <c:pt idx="975">
                  <c:v>839.7136314269211</c:v>
                </c:pt>
                <c:pt idx="976">
                  <c:v>839.7136314269211</c:v>
                </c:pt>
                <c:pt idx="977">
                  <c:v>839.7136314269211</c:v>
                </c:pt>
                <c:pt idx="978">
                  <c:v>839.7136314269211</c:v>
                </c:pt>
                <c:pt idx="979">
                  <c:v>839.7136314269211</c:v>
                </c:pt>
                <c:pt idx="980">
                  <c:v>839.7136314269211</c:v>
                </c:pt>
                <c:pt idx="981">
                  <c:v>839.7136314269211</c:v>
                </c:pt>
                <c:pt idx="982">
                  <c:v>839.7136314269211</c:v>
                </c:pt>
                <c:pt idx="983">
                  <c:v>839.7136314269211</c:v>
                </c:pt>
                <c:pt idx="984">
                  <c:v>839.7136314269211</c:v>
                </c:pt>
                <c:pt idx="985">
                  <c:v>839.7136314269211</c:v>
                </c:pt>
                <c:pt idx="986">
                  <c:v>839.7136314269211</c:v>
                </c:pt>
                <c:pt idx="987">
                  <c:v>839.7136314269211</c:v>
                </c:pt>
                <c:pt idx="988">
                  <c:v>839.7136314269211</c:v>
                </c:pt>
                <c:pt idx="989">
                  <c:v>839.7136314269211</c:v>
                </c:pt>
                <c:pt idx="990">
                  <c:v>839.7136314269211</c:v>
                </c:pt>
                <c:pt idx="991">
                  <c:v>839.7136314269211</c:v>
                </c:pt>
                <c:pt idx="992">
                  <c:v>839.7136314269211</c:v>
                </c:pt>
                <c:pt idx="993">
                  <c:v>839.7136314269211</c:v>
                </c:pt>
                <c:pt idx="994">
                  <c:v>839.7136314269211</c:v>
                </c:pt>
                <c:pt idx="995">
                  <c:v>839.7136314269211</c:v>
                </c:pt>
                <c:pt idx="996">
                  <c:v>839.7136314269211</c:v>
                </c:pt>
                <c:pt idx="997">
                  <c:v>839.7136314269211</c:v>
                </c:pt>
                <c:pt idx="998">
                  <c:v>839.7136314269211</c:v>
                </c:pt>
                <c:pt idx="999">
                  <c:v>839.7136314269211</c:v>
                </c:pt>
                <c:pt idx="1000">
                  <c:v>839.7136314269211</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4.5999999999999996</c:v>
                </c:pt>
                <c:pt idx="1">
                  <c:v>4.6099999999999994</c:v>
                </c:pt>
                <c:pt idx="2">
                  <c:v>4.6199999999999992</c:v>
                </c:pt>
                <c:pt idx="3">
                  <c:v>4.629999999999999</c:v>
                </c:pt>
                <c:pt idx="4">
                  <c:v>4.6399999999999988</c:v>
                </c:pt>
                <c:pt idx="5">
                  <c:v>4.6499999999999986</c:v>
                </c:pt>
                <c:pt idx="6">
                  <c:v>4.6599999999999984</c:v>
                </c:pt>
                <c:pt idx="7">
                  <c:v>4.6699999999999982</c:v>
                </c:pt>
                <c:pt idx="8">
                  <c:v>4.6799999999999979</c:v>
                </c:pt>
                <c:pt idx="9">
                  <c:v>4.6899999999999977</c:v>
                </c:pt>
                <c:pt idx="10">
                  <c:v>4.6999999999999975</c:v>
                </c:pt>
                <c:pt idx="11">
                  <c:v>4.7099999999999973</c:v>
                </c:pt>
                <c:pt idx="12">
                  <c:v>4.7199999999999971</c:v>
                </c:pt>
                <c:pt idx="13">
                  <c:v>4.7299999999999969</c:v>
                </c:pt>
                <c:pt idx="14">
                  <c:v>4.7399999999999967</c:v>
                </c:pt>
                <c:pt idx="15">
                  <c:v>4.7499999999999964</c:v>
                </c:pt>
                <c:pt idx="16">
                  <c:v>4.7599999999999962</c:v>
                </c:pt>
                <c:pt idx="17">
                  <c:v>4.769999999999996</c:v>
                </c:pt>
                <c:pt idx="18">
                  <c:v>4.7799999999999958</c:v>
                </c:pt>
                <c:pt idx="19">
                  <c:v>4.7899999999999956</c:v>
                </c:pt>
                <c:pt idx="20">
                  <c:v>4.7999999999999954</c:v>
                </c:pt>
                <c:pt idx="21">
                  <c:v>4.8099999999999952</c:v>
                </c:pt>
                <c:pt idx="22">
                  <c:v>4.819999999999995</c:v>
                </c:pt>
                <c:pt idx="23">
                  <c:v>4.8299999999999947</c:v>
                </c:pt>
                <c:pt idx="24">
                  <c:v>4.8399999999999945</c:v>
                </c:pt>
                <c:pt idx="25">
                  <c:v>4.8499999999999943</c:v>
                </c:pt>
                <c:pt idx="26">
                  <c:v>4.8599999999999941</c:v>
                </c:pt>
                <c:pt idx="27">
                  <c:v>4.8699999999999939</c:v>
                </c:pt>
                <c:pt idx="28">
                  <c:v>4.8799999999999937</c:v>
                </c:pt>
                <c:pt idx="29">
                  <c:v>4.8899999999999935</c:v>
                </c:pt>
                <c:pt idx="30">
                  <c:v>4.8999999999999932</c:v>
                </c:pt>
                <c:pt idx="31">
                  <c:v>4.909999999999993</c:v>
                </c:pt>
                <c:pt idx="32">
                  <c:v>4.9199999999999928</c:v>
                </c:pt>
                <c:pt idx="33">
                  <c:v>4.9299999999999926</c:v>
                </c:pt>
                <c:pt idx="34">
                  <c:v>4.9399999999999924</c:v>
                </c:pt>
                <c:pt idx="35">
                  <c:v>4.9499999999999922</c:v>
                </c:pt>
                <c:pt idx="36">
                  <c:v>4.959999999999992</c:v>
                </c:pt>
                <c:pt idx="37">
                  <c:v>4.9699999999999918</c:v>
                </c:pt>
                <c:pt idx="38">
                  <c:v>4.9799999999999915</c:v>
                </c:pt>
                <c:pt idx="39">
                  <c:v>4.9899999999999913</c:v>
                </c:pt>
                <c:pt idx="40">
                  <c:v>4.9999999999999911</c:v>
                </c:pt>
                <c:pt idx="41">
                  <c:v>5.0099999999999909</c:v>
                </c:pt>
                <c:pt idx="42">
                  <c:v>5.0199999999999907</c:v>
                </c:pt>
                <c:pt idx="43">
                  <c:v>5.0299999999999905</c:v>
                </c:pt>
                <c:pt idx="44">
                  <c:v>5.0399999999999903</c:v>
                </c:pt>
                <c:pt idx="45">
                  <c:v>5.0499999999999901</c:v>
                </c:pt>
                <c:pt idx="46">
                  <c:v>5.0599999999999898</c:v>
                </c:pt>
                <c:pt idx="47">
                  <c:v>5.0699999999999896</c:v>
                </c:pt>
                <c:pt idx="48">
                  <c:v>5.0799999999999894</c:v>
                </c:pt>
                <c:pt idx="49">
                  <c:v>5.0899999999999892</c:v>
                </c:pt>
                <c:pt idx="50">
                  <c:v>5.099999999999989</c:v>
                </c:pt>
                <c:pt idx="51">
                  <c:v>5.1099999999999888</c:v>
                </c:pt>
                <c:pt idx="52">
                  <c:v>5.1199999999999886</c:v>
                </c:pt>
                <c:pt idx="53">
                  <c:v>5.1299999999999883</c:v>
                </c:pt>
                <c:pt idx="54">
                  <c:v>5.1399999999999881</c:v>
                </c:pt>
                <c:pt idx="55">
                  <c:v>5.1499999999999879</c:v>
                </c:pt>
                <c:pt idx="56">
                  <c:v>5.1599999999999877</c:v>
                </c:pt>
                <c:pt idx="57">
                  <c:v>5.1699999999999875</c:v>
                </c:pt>
                <c:pt idx="58">
                  <c:v>5.1799999999999873</c:v>
                </c:pt>
                <c:pt idx="59">
                  <c:v>5.1899999999999871</c:v>
                </c:pt>
                <c:pt idx="60">
                  <c:v>5.1999999999999869</c:v>
                </c:pt>
                <c:pt idx="61">
                  <c:v>5.2099999999999866</c:v>
                </c:pt>
                <c:pt idx="62">
                  <c:v>5.2199999999999864</c:v>
                </c:pt>
                <c:pt idx="63">
                  <c:v>5.2299999999999862</c:v>
                </c:pt>
                <c:pt idx="64">
                  <c:v>5.239999999999986</c:v>
                </c:pt>
                <c:pt idx="65">
                  <c:v>5.2499999999999858</c:v>
                </c:pt>
                <c:pt idx="66">
                  <c:v>5.2599999999999856</c:v>
                </c:pt>
                <c:pt idx="67">
                  <c:v>5.2699999999999854</c:v>
                </c:pt>
                <c:pt idx="68">
                  <c:v>5.2799999999999851</c:v>
                </c:pt>
                <c:pt idx="69">
                  <c:v>5.2899999999999849</c:v>
                </c:pt>
                <c:pt idx="70">
                  <c:v>5.2999999999999847</c:v>
                </c:pt>
                <c:pt idx="71">
                  <c:v>5.3099999999999845</c:v>
                </c:pt>
                <c:pt idx="72">
                  <c:v>5.3199999999999843</c:v>
                </c:pt>
                <c:pt idx="73">
                  <c:v>5.3299999999999841</c:v>
                </c:pt>
                <c:pt idx="74">
                  <c:v>5.3399999999999839</c:v>
                </c:pt>
                <c:pt idx="75">
                  <c:v>5.3499999999999837</c:v>
                </c:pt>
                <c:pt idx="76">
                  <c:v>5.3599999999999834</c:v>
                </c:pt>
                <c:pt idx="77">
                  <c:v>5.3699999999999832</c:v>
                </c:pt>
                <c:pt idx="78">
                  <c:v>5.379999999999983</c:v>
                </c:pt>
                <c:pt idx="79">
                  <c:v>5.3899999999999828</c:v>
                </c:pt>
                <c:pt idx="80">
                  <c:v>5.3999999999999826</c:v>
                </c:pt>
                <c:pt idx="81">
                  <c:v>5.4099999999999824</c:v>
                </c:pt>
                <c:pt idx="82">
                  <c:v>5.4199999999999822</c:v>
                </c:pt>
                <c:pt idx="83">
                  <c:v>5.429999999999982</c:v>
                </c:pt>
                <c:pt idx="84">
                  <c:v>5.4399999999999817</c:v>
                </c:pt>
                <c:pt idx="85">
                  <c:v>5.4499999999999815</c:v>
                </c:pt>
                <c:pt idx="86">
                  <c:v>5.4599999999999813</c:v>
                </c:pt>
                <c:pt idx="87">
                  <c:v>5.4699999999999811</c:v>
                </c:pt>
                <c:pt idx="88">
                  <c:v>5.4799999999999809</c:v>
                </c:pt>
                <c:pt idx="89">
                  <c:v>5.4899999999999807</c:v>
                </c:pt>
                <c:pt idx="90">
                  <c:v>5.4999999999999805</c:v>
                </c:pt>
                <c:pt idx="91">
                  <c:v>5.5099999999999802</c:v>
                </c:pt>
                <c:pt idx="92">
                  <c:v>5.51999999999998</c:v>
                </c:pt>
                <c:pt idx="93">
                  <c:v>5.5299999999999798</c:v>
                </c:pt>
                <c:pt idx="94">
                  <c:v>5.5399999999999796</c:v>
                </c:pt>
                <c:pt idx="95">
                  <c:v>5.5499999999999794</c:v>
                </c:pt>
                <c:pt idx="96">
                  <c:v>5.5599999999999792</c:v>
                </c:pt>
                <c:pt idx="97">
                  <c:v>5.569999999999979</c:v>
                </c:pt>
                <c:pt idx="98">
                  <c:v>5.5799999999999788</c:v>
                </c:pt>
                <c:pt idx="99">
                  <c:v>5.5899999999999785</c:v>
                </c:pt>
                <c:pt idx="100">
                  <c:v>5.5999999999999783</c:v>
                </c:pt>
                <c:pt idx="101">
                  <c:v>5.6099999999999781</c:v>
                </c:pt>
                <c:pt idx="102">
                  <c:v>5.6199999999999779</c:v>
                </c:pt>
                <c:pt idx="103">
                  <c:v>5.6299999999999777</c:v>
                </c:pt>
                <c:pt idx="104">
                  <c:v>5.6399999999999775</c:v>
                </c:pt>
                <c:pt idx="105">
                  <c:v>5.6499999999999773</c:v>
                </c:pt>
                <c:pt idx="106">
                  <c:v>5.659999999999977</c:v>
                </c:pt>
                <c:pt idx="107">
                  <c:v>5.6699999999999768</c:v>
                </c:pt>
                <c:pt idx="108">
                  <c:v>5.6799999999999766</c:v>
                </c:pt>
                <c:pt idx="109">
                  <c:v>5.6899999999999764</c:v>
                </c:pt>
                <c:pt idx="110">
                  <c:v>5.6999999999999762</c:v>
                </c:pt>
                <c:pt idx="111">
                  <c:v>5.709999999999976</c:v>
                </c:pt>
                <c:pt idx="112">
                  <c:v>5.7199999999999758</c:v>
                </c:pt>
                <c:pt idx="113">
                  <c:v>5.7299999999999756</c:v>
                </c:pt>
                <c:pt idx="114">
                  <c:v>5.7399999999999753</c:v>
                </c:pt>
                <c:pt idx="115">
                  <c:v>5.7499999999999751</c:v>
                </c:pt>
                <c:pt idx="116">
                  <c:v>5.7599999999999749</c:v>
                </c:pt>
                <c:pt idx="117">
                  <c:v>5.7699999999999747</c:v>
                </c:pt>
                <c:pt idx="118">
                  <c:v>5.7799999999999745</c:v>
                </c:pt>
                <c:pt idx="119">
                  <c:v>5.7899999999999743</c:v>
                </c:pt>
                <c:pt idx="120">
                  <c:v>5.7999999999999741</c:v>
                </c:pt>
                <c:pt idx="121">
                  <c:v>5.8099999999999739</c:v>
                </c:pt>
                <c:pt idx="122">
                  <c:v>5.8199999999999736</c:v>
                </c:pt>
                <c:pt idx="123">
                  <c:v>5.8299999999999734</c:v>
                </c:pt>
                <c:pt idx="124">
                  <c:v>5.8399999999999732</c:v>
                </c:pt>
                <c:pt idx="125">
                  <c:v>5.849999999999973</c:v>
                </c:pt>
                <c:pt idx="126">
                  <c:v>5.8599999999999728</c:v>
                </c:pt>
                <c:pt idx="127">
                  <c:v>5.8699999999999726</c:v>
                </c:pt>
                <c:pt idx="128">
                  <c:v>5.8799999999999724</c:v>
                </c:pt>
                <c:pt idx="129">
                  <c:v>5.8899999999999721</c:v>
                </c:pt>
                <c:pt idx="130">
                  <c:v>5.8999999999999719</c:v>
                </c:pt>
                <c:pt idx="131">
                  <c:v>5.9099999999999717</c:v>
                </c:pt>
                <c:pt idx="132">
                  <c:v>5.9199999999999715</c:v>
                </c:pt>
                <c:pt idx="133">
                  <c:v>5.9299999999999713</c:v>
                </c:pt>
                <c:pt idx="134">
                  <c:v>5.9399999999999711</c:v>
                </c:pt>
                <c:pt idx="135">
                  <c:v>5.9499999999999709</c:v>
                </c:pt>
                <c:pt idx="136">
                  <c:v>5.9599999999999707</c:v>
                </c:pt>
                <c:pt idx="137">
                  <c:v>5.9699999999999704</c:v>
                </c:pt>
                <c:pt idx="138">
                  <c:v>5.9799999999999702</c:v>
                </c:pt>
                <c:pt idx="139">
                  <c:v>5.98999999999997</c:v>
                </c:pt>
                <c:pt idx="140">
                  <c:v>5.9999999999999698</c:v>
                </c:pt>
                <c:pt idx="141">
                  <c:v>6.0099999999999696</c:v>
                </c:pt>
                <c:pt idx="142">
                  <c:v>6.0199999999999694</c:v>
                </c:pt>
                <c:pt idx="143">
                  <c:v>6.0299999999999692</c:v>
                </c:pt>
                <c:pt idx="144">
                  <c:v>6.0399999999999689</c:v>
                </c:pt>
                <c:pt idx="145">
                  <c:v>6.0499999999999687</c:v>
                </c:pt>
                <c:pt idx="146">
                  <c:v>6.0599999999999685</c:v>
                </c:pt>
                <c:pt idx="147">
                  <c:v>6.0699999999999683</c:v>
                </c:pt>
                <c:pt idx="148">
                  <c:v>6.0799999999999681</c:v>
                </c:pt>
                <c:pt idx="149">
                  <c:v>6.0899999999999679</c:v>
                </c:pt>
                <c:pt idx="150">
                  <c:v>6.0999999999999677</c:v>
                </c:pt>
                <c:pt idx="151">
                  <c:v>6.1099999999999675</c:v>
                </c:pt>
                <c:pt idx="152">
                  <c:v>6.1199999999999672</c:v>
                </c:pt>
                <c:pt idx="153">
                  <c:v>6.129999999999967</c:v>
                </c:pt>
                <c:pt idx="154">
                  <c:v>6.1399999999999668</c:v>
                </c:pt>
                <c:pt idx="155">
                  <c:v>6.1499999999999666</c:v>
                </c:pt>
                <c:pt idx="156">
                  <c:v>6.1599999999999664</c:v>
                </c:pt>
                <c:pt idx="157">
                  <c:v>6.1699999999999662</c:v>
                </c:pt>
                <c:pt idx="158">
                  <c:v>6.179999999999966</c:v>
                </c:pt>
                <c:pt idx="159">
                  <c:v>6.1899999999999658</c:v>
                </c:pt>
                <c:pt idx="160">
                  <c:v>6.1999999999999655</c:v>
                </c:pt>
                <c:pt idx="161">
                  <c:v>6.2099999999999653</c:v>
                </c:pt>
                <c:pt idx="162">
                  <c:v>6.2199999999999651</c:v>
                </c:pt>
                <c:pt idx="163">
                  <c:v>6.2299999999999649</c:v>
                </c:pt>
                <c:pt idx="164">
                  <c:v>6.2399999999999647</c:v>
                </c:pt>
                <c:pt idx="165">
                  <c:v>6.2499999999999645</c:v>
                </c:pt>
                <c:pt idx="166">
                  <c:v>6.2599999999999643</c:v>
                </c:pt>
                <c:pt idx="167">
                  <c:v>6.269999999999964</c:v>
                </c:pt>
                <c:pt idx="168">
                  <c:v>6.2799999999999638</c:v>
                </c:pt>
                <c:pt idx="169">
                  <c:v>6.2899999999999636</c:v>
                </c:pt>
                <c:pt idx="170">
                  <c:v>6.2999999999999634</c:v>
                </c:pt>
                <c:pt idx="171">
                  <c:v>6.3099999999999632</c:v>
                </c:pt>
                <c:pt idx="172">
                  <c:v>6.319999999999963</c:v>
                </c:pt>
                <c:pt idx="173">
                  <c:v>6.3299999999999628</c:v>
                </c:pt>
                <c:pt idx="174">
                  <c:v>6.3399999999999626</c:v>
                </c:pt>
                <c:pt idx="175">
                  <c:v>6.3499999999999623</c:v>
                </c:pt>
                <c:pt idx="176">
                  <c:v>6.3599999999999621</c:v>
                </c:pt>
                <c:pt idx="177">
                  <c:v>6.3699999999999619</c:v>
                </c:pt>
                <c:pt idx="178">
                  <c:v>6.3799999999999617</c:v>
                </c:pt>
                <c:pt idx="179">
                  <c:v>6.3899999999999615</c:v>
                </c:pt>
                <c:pt idx="180">
                  <c:v>6.3999999999999613</c:v>
                </c:pt>
                <c:pt idx="181">
                  <c:v>6.4099999999999611</c:v>
                </c:pt>
                <c:pt idx="182">
                  <c:v>6.4199999999999608</c:v>
                </c:pt>
                <c:pt idx="183">
                  <c:v>6.4299999999999606</c:v>
                </c:pt>
                <c:pt idx="184">
                  <c:v>6.4399999999999604</c:v>
                </c:pt>
                <c:pt idx="185">
                  <c:v>6.4499999999999602</c:v>
                </c:pt>
                <c:pt idx="186">
                  <c:v>6.45999999999996</c:v>
                </c:pt>
                <c:pt idx="187">
                  <c:v>6.4699999999999598</c:v>
                </c:pt>
                <c:pt idx="188">
                  <c:v>6.4799999999999596</c:v>
                </c:pt>
                <c:pt idx="189">
                  <c:v>6.4899999999999594</c:v>
                </c:pt>
                <c:pt idx="190">
                  <c:v>6.4999999999999591</c:v>
                </c:pt>
                <c:pt idx="191">
                  <c:v>6.5099999999999589</c:v>
                </c:pt>
                <c:pt idx="192">
                  <c:v>6.5199999999999587</c:v>
                </c:pt>
                <c:pt idx="193">
                  <c:v>6.5299999999999585</c:v>
                </c:pt>
                <c:pt idx="194">
                  <c:v>6.5399999999999583</c:v>
                </c:pt>
                <c:pt idx="195">
                  <c:v>6.5499999999999581</c:v>
                </c:pt>
                <c:pt idx="196">
                  <c:v>6.5599999999999579</c:v>
                </c:pt>
                <c:pt idx="197">
                  <c:v>6.5699999999999577</c:v>
                </c:pt>
                <c:pt idx="198">
                  <c:v>6.5799999999999574</c:v>
                </c:pt>
                <c:pt idx="199">
                  <c:v>6.5899999999999572</c:v>
                </c:pt>
                <c:pt idx="200">
                  <c:v>6.599999999999957</c:v>
                </c:pt>
                <c:pt idx="201">
                  <c:v>6.6999999999999567</c:v>
                </c:pt>
                <c:pt idx="202">
                  <c:v>6.7999999999999563</c:v>
                </c:pt>
                <c:pt idx="203">
                  <c:v>6.8999999999999559</c:v>
                </c:pt>
                <c:pt idx="204">
                  <c:v>6.9999999999999556</c:v>
                </c:pt>
                <c:pt idx="205">
                  <c:v>7.0999999999999552</c:v>
                </c:pt>
                <c:pt idx="206">
                  <c:v>7.1999999999999549</c:v>
                </c:pt>
                <c:pt idx="207">
                  <c:v>7.2999999999999545</c:v>
                </c:pt>
                <c:pt idx="208">
                  <c:v>7.3999999999999542</c:v>
                </c:pt>
                <c:pt idx="209">
                  <c:v>7.4999999999999538</c:v>
                </c:pt>
                <c:pt idx="210">
                  <c:v>7.5999999999999535</c:v>
                </c:pt>
                <c:pt idx="211">
                  <c:v>7.6999999999999531</c:v>
                </c:pt>
                <c:pt idx="212">
                  <c:v>7.7999999999999527</c:v>
                </c:pt>
                <c:pt idx="213">
                  <c:v>7.8999999999999524</c:v>
                </c:pt>
                <c:pt idx="214">
                  <c:v>7.999999999999952</c:v>
                </c:pt>
                <c:pt idx="215">
                  <c:v>8.0999999999999517</c:v>
                </c:pt>
                <c:pt idx="216">
                  <c:v>8.1999999999999513</c:v>
                </c:pt>
                <c:pt idx="217">
                  <c:v>8.299999999999951</c:v>
                </c:pt>
                <c:pt idx="218">
                  <c:v>8.3999999999999506</c:v>
                </c:pt>
                <c:pt idx="219">
                  <c:v>8.4999999999999503</c:v>
                </c:pt>
                <c:pt idx="220">
                  <c:v>8.5999999999999499</c:v>
                </c:pt>
                <c:pt idx="221">
                  <c:v>8.6999999999999496</c:v>
                </c:pt>
                <c:pt idx="222">
                  <c:v>8.7999999999999492</c:v>
                </c:pt>
                <c:pt idx="223">
                  <c:v>8.8999999999999488</c:v>
                </c:pt>
                <c:pt idx="224">
                  <c:v>8.9999999999999485</c:v>
                </c:pt>
                <c:pt idx="225">
                  <c:v>9.0999999999999481</c:v>
                </c:pt>
                <c:pt idx="226">
                  <c:v>9.1999999999999478</c:v>
                </c:pt>
                <c:pt idx="227">
                  <c:v>9.2999999999999474</c:v>
                </c:pt>
                <c:pt idx="228">
                  <c:v>9.3999999999999471</c:v>
                </c:pt>
                <c:pt idx="229">
                  <c:v>9.4999999999999467</c:v>
                </c:pt>
                <c:pt idx="230">
                  <c:v>9.5999999999999464</c:v>
                </c:pt>
                <c:pt idx="231">
                  <c:v>9.699999999999946</c:v>
                </c:pt>
                <c:pt idx="232">
                  <c:v>9.7999999999999456</c:v>
                </c:pt>
                <c:pt idx="233">
                  <c:v>9.8999999999999453</c:v>
                </c:pt>
                <c:pt idx="234">
                  <c:v>9.9999999999999449</c:v>
                </c:pt>
                <c:pt idx="235">
                  <c:v>10.099999999999945</c:v>
                </c:pt>
                <c:pt idx="236">
                  <c:v>10.199999999999944</c:v>
                </c:pt>
                <c:pt idx="237">
                  <c:v>10.299999999999944</c:v>
                </c:pt>
                <c:pt idx="238">
                  <c:v>10.399999999999944</c:v>
                </c:pt>
                <c:pt idx="239">
                  <c:v>10.499999999999943</c:v>
                </c:pt>
                <c:pt idx="240">
                  <c:v>10.599999999999943</c:v>
                </c:pt>
                <c:pt idx="241">
                  <c:v>10.699999999999942</c:v>
                </c:pt>
                <c:pt idx="242">
                  <c:v>10.799999999999942</c:v>
                </c:pt>
                <c:pt idx="243">
                  <c:v>10.899999999999942</c:v>
                </c:pt>
                <c:pt idx="244">
                  <c:v>10.999999999999941</c:v>
                </c:pt>
                <c:pt idx="245">
                  <c:v>11.099999999999941</c:v>
                </c:pt>
                <c:pt idx="246">
                  <c:v>11.199999999999941</c:v>
                </c:pt>
                <c:pt idx="247">
                  <c:v>11.29999999999994</c:v>
                </c:pt>
                <c:pt idx="248">
                  <c:v>11.39999999999994</c:v>
                </c:pt>
                <c:pt idx="249">
                  <c:v>11.49999999999994</c:v>
                </c:pt>
                <c:pt idx="250">
                  <c:v>11.599999999999939</c:v>
                </c:pt>
                <c:pt idx="251">
                  <c:v>11.699999999999939</c:v>
                </c:pt>
                <c:pt idx="252">
                  <c:v>11.799999999999939</c:v>
                </c:pt>
                <c:pt idx="253">
                  <c:v>11.899999999999938</c:v>
                </c:pt>
                <c:pt idx="254">
                  <c:v>11.999999999999938</c:v>
                </c:pt>
                <c:pt idx="255">
                  <c:v>12.099999999999937</c:v>
                </c:pt>
                <c:pt idx="256">
                  <c:v>12.199999999999937</c:v>
                </c:pt>
                <c:pt idx="257">
                  <c:v>12.299999999999937</c:v>
                </c:pt>
                <c:pt idx="258">
                  <c:v>12.399999999999936</c:v>
                </c:pt>
                <c:pt idx="259">
                  <c:v>12.499999999999936</c:v>
                </c:pt>
                <c:pt idx="260">
                  <c:v>12.599999999999936</c:v>
                </c:pt>
                <c:pt idx="261">
                  <c:v>12.699999999999935</c:v>
                </c:pt>
                <c:pt idx="262">
                  <c:v>12.799999999999935</c:v>
                </c:pt>
                <c:pt idx="263">
                  <c:v>12.899999999999935</c:v>
                </c:pt>
                <c:pt idx="264">
                  <c:v>12.999999999999934</c:v>
                </c:pt>
                <c:pt idx="265">
                  <c:v>13.099999999999934</c:v>
                </c:pt>
                <c:pt idx="266">
                  <c:v>13.199999999999934</c:v>
                </c:pt>
                <c:pt idx="267">
                  <c:v>13.299999999999933</c:v>
                </c:pt>
                <c:pt idx="268">
                  <c:v>13.399999999999933</c:v>
                </c:pt>
                <c:pt idx="269">
                  <c:v>13.499999999999932</c:v>
                </c:pt>
                <c:pt idx="270">
                  <c:v>13.599999999999932</c:v>
                </c:pt>
                <c:pt idx="271">
                  <c:v>13.699999999999932</c:v>
                </c:pt>
                <c:pt idx="272">
                  <c:v>13.799999999999931</c:v>
                </c:pt>
                <c:pt idx="273">
                  <c:v>13.899999999999931</c:v>
                </c:pt>
                <c:pt idx="274">
                  <c:v>13.999999999999931</c:v>
                </c:pt>
                <c:pt idx="275">
                  <c:v>14.09999999999993</c:v>
                </c:pt>
                <c:pt idx="276">
                  <c:v>14.19999999999993</c:v>
                </c:pt>
                <c:pt idx="277">
                  <c:v>14.29999999999993</c:v>
                </c:pt>
                <c:pt idx="278">
                  <c:v>14.399999999999929</c:v>
                </c:pt>
                <c:pt idx="279">
                  <c:v>14.499999999999929</c:v>
                </c:pt>
                <c:pt idx="280">
                  <c:v>14.599999999999929</c:v>
                </c:pt>
                <c:pt idx="281">
                  <c:v>14.699999999999928</c:v>
                </c:pt>
                <c:pt idx="282">
                  <c:v>14.799999999999928</c:v>
                </c:pt>
                <c:pt idx="283">
                  <c:v>14.899999999999928</c:v>
                </c:pt>
                <c:pt idx="284">
                  <c:v>14.999999999999927</c:v>
                </c:pt>
                <c:pt idx="285">
                  <c:v>15.099999999999927</c:v>
                </c:pt>
                <c:pt idx="286">
                  <c:v>15.199999999999926</c:v>
                </c:pt>
                <c:pt idx="287">
                  <c:v>15.299999999999926</c:v>
                </c:pt>
                <c:pt idx="288">
                  <c:v>15.399999999999926</c:v>
                </c:pt>
                <c:pt idx="289">
                  <c:v>15.499999999999925</c:v>
                </c:pt>
                <c:pt idx="290">
                  <c:v>15.599999999999925</c:v>
                </c:pt>
                <c:pt idx="291">
                  <c:v>15.699999999999925</c:v>
                </c:pt>
                <c:pt idx="292">
                  <c:v>15.799999999999924</c:v>
                </c:pt>
                <c:pt idx="293">
                  <c:v>15.899999999999924</c:v>
                </c:pt>
                <c:pt idx="294">
                  <c:v>15.999999999999924</c:v>
                </c:pt>
                <c:pt idx="295">
                  <c:v>16.099999999999923</c:v>
                </c:pt>
                <c:pt idx="296">
                  <c:v>16.199999999999925</c:v>
                </c:pt>
                <c:pt idx="297">
                  <c:v>16.299999999999926</c:v>
                </c:pt>
                <c:pt idx="298">
                  <c:v>16.399999999999928</c:v>
                </c:pt>
                <c:pt idx="299">
                  <c:v>16.499999999999929</c:v>
                </c:pt>
                <c:pt idx="300">
                  <c:v>16.59999999999993</c:v>
                </c:pt>
                <c:pt idx="301">
                  <c:v>16.699999999999932</c:v>
                </c:pt>
                <c:pt idx="302">
                  <c:v>16.799999999999933</c:v>
                </c:pt>
                <c:pt idx="303">
                  <c:v>16.899999999999935</c:v>
                </c:pt>
                <c:pt idx="304">
                  <c:v>16.999999999999936</c:v>
                </c:pt>
                <c:pt idx="305">
                  <c:v>17.099999999999937</c:v>
                </c:pt>
                <c:pt idx="306">
                  <c:v>17.199999999999939</c:v>
                </c:pt>
                <c:pt idx="307">
                  <c:v>17.29999999999994</c:v>
                </c:pt>
                <c:pt idx="308">
                  <c:v>17.399999999999942</c:v>
                </c:pt>
                <c:pt idx="309">
                  <c:v>17.499999999999943</c:v>
                </c:pt>
                <c:pt idx="310">
                  <c:v>17.599999999999945</c:v>
                </c:pt>
                <c:pt idx="311">
                  <c:v>17.699999999999946</c:v>
                </c:pt>
                <c:pt idx="312">
                  <c:v>17.799999999999947</c:v>
                </c:pt>
                <c:pt idx="313">
                  <c:v>17.899999999999949</c:v>
                </c:pt>
                <c:pt idx="314">
                  <c:v>17.99999999999995</c:v>
                </c:pt>
                <c:pt idx="315">
                  <c:v>18.099999999999952</c:v>
                </c:pt>
                <c:pt idx="316">
                  <c:v>18.199999999999953</c:v>
                </c:pt>
                <c:pt idx="317">
                  <c:v>18.299999999999955</c:v>
                </c:pt>
                <c:pt idx="318">
                  <c:v>18.399999999999956</c:v>
                </c:pt>
                <c:pt idx="319">
                  <c:v>18.499999999999957</c:v>
                </c:pt>
                <c:pt idx="320">
                  <c:v>18.599999999999959</c:v>
                </c:pt>
                <c:pt idx="321">
                  <c:v>18.69999999999996</c:v>
                </c:pt>
                <c:pt idx="322">
                  <c:v>18.799999999999962</c:v>
                </c:pt>
                <c:pt idx="323">
                  <c:v>18.899999999999963</c:v>
                </c:pt>
                <c:pt idx="324">
                  <c:v>18.999999999999964</c:v>
                </c:pt>
                <c:pt idx="325">
                  <c:v>19.099999999999966</c:v>
                </c:pt>
                <c:pt idx="326">
                  <c:v>19.199999999999967</c:v>
                </c:pt>
                <c:pt idx="327">
                  <c:v>19.299999999999969</c:v>
                </c:pt>
                <c:pt idx="328">
                  <c:v>19.39999999999997</c:v>
                </c:pt>
                <c:pt idx="329">
                  <c:v>19.499999999999972</c:v>
                </c:pt>
                <c:pt idx="330">
                  <c:v>19.599999999999973</c:v>
                </c:pt>
                <c:pt idx="331">
                  <c:v>19.699999999999974</c:v>
                </c:pt>
                <c:pt idx="332">
                  <c:v>19.799999999999976</c:v>
                </c:pt>
                <c:pt idx="333">
                  <c:v>19.899999999999977</c:v>
                </c:pt>
                <c:pt idx="334">
                  <c:v>19.999999999999979</c:v>
                </c:pt>
                <c:pt idx="335">
                  <c:v>20.09999999999998</c:v>
                </c:pt>
                <c:pt idx="336">
                  <c:v>20.199999999999982</c:v>
                </c:pt>
                <c:pt idx="337">
                  <c:v>20.299999999999983</c:v>
                </c:pt>
                <c:pt idx="338">
                  <c:v>20.399999999999984</c:v>
                </c:pt>
                <c:pt idx="339">
                  <c:v>20.499999999999986</c:v>
                </c:pt>
                <c:pt idx="340">
                  <c:v>20.599999999999987</c:v>
                </c:pt>
                <c:pt idx="341">
                  <c:v>20.699999999999989</c:v>
                </c:pt>
                <c:pt idx="342">
                  <c:v>20.79999999999999</c:v>
                </c:pt>
                <c:pt idx="343">
                  <c:v>20.899999999999991</c:v>
                </c:pt>
                <c:pt idx="344">
                  <c:v>20.999999999999993</c:v>
                </c:pt>
                <c:pt idx="345">
                  <c:v>21.099999999999994</c:v>
                </c:pt>
                <c:pt idx="346">
                  <c:v>21.199999999999996</c:v>
                </c:pt>
                <c:pt idx="347">
                  <c:v>21.299999999999997</c:v>
                </c:pt>
                <c:pt idx="348">
                  <c:v>21.4</c:v>
                </c:pt>
                <c:pt idx="349">
                  <c:v>21.5</c:v>
                </c:pt>
                <c:pt idx="350">
                  <c:v>21.6</c:v>
                </c:pt>
                <c:pt idx="351">
                  <c:v>21.700000000000003</c:v>
                </c:pt>
                <c:pt idx="352">
                  <c:v>21.800000000000004</c:v>
                </c:pt>
                <c:pt idx="353">
                  <c:v>21.900000000000006</c:v>
                </c:pt>
                <c:pt idx="354">
                  <c:v>22.000000000000007</c:v>
                </c:pt>
                <c:pt idx="355">
                  <c:v>22.100000000000009</c:v>
                </c:pt>
                <c:pt idx="356">
                  <c:v>22.20000000000001</c:v>
                </c:pt>
                <c:pt idx="357">
                  <c:v>22.300000000000011</c:v>
                </c:pt>
                <c:pt idx="358">
                  <c:v>22.400000000000013</c:v>
                </c:pt>
                <c:pt idx="359">
                  <c:v>22.500000000000014</c:v>
                </c:pt>
                <c:pt idx="360">
                  <c:v>22.600000000000016</c:v>
                </c:pt>
                <c:pt idx="361">
                  <c:v>22.700000000000017</c:v>
                </c:pt>
                <c:pt idx="362">
                  <c:v>22.800000000000018</c:v>
                </c:pt>
                <c:pt idx="363">
                  <c:v>22.90000000000002</c:v>
                </c:pt>
                <c:pt idx="364">
                  <c:v>23.000000000000021</c:v>
                </c:pt>
                <c:pt idx="365">
                  <c:v>23.100000000000023</c:v>
                </c:pt>
                <c:pt idx="366">
                  <c:v>23.200000000000024</c:v>
                </c:pt>
                <c:pt idx="367">
                  <c:v>23.300000000000026</c:v>
                </c:pt>
                <c:pt idx="368">
                  <c:v>23.400000000000027</c:v>
                </c:pt>
                <c:pt idx="369">
                  <c:v>23.500000000000028</c:v>
                </c:pt>
                <c:pt idx="370">
                  <c:v>23.60000000000003</c:v>
                </c:pt>
                <c:pt idx="371">
                  <c:v>23.700000000000031</c:v>
                </c:pt>
                <c:pt idx="372">
                  <c:v>23.800000000000033</c:v>
                </c:pt>
                <c:pt idx="373">
                  <c:v>23.900000000000034</c:v>
                </c:pt>
                <c:pt idx="374">
                  <c:v>24.000000000000036</c:v>
                </c:pt>
                <c:pt idx="375">
                  <c:v>24.100000000000037</c:v>
                </c:pt>
                <c:pt idx="376">
                  <c:v>24.200000000000038</c:v>
                </c:pt>
                <c:pt idx="377">
                  <c:v>24.30000000000004</c:v>
                </c:pt>
                <c:pt idx="378">
                  <c:v>24.400000000000041</c:v>
                </c:pt>
                <c:pt idx="379">
                  <c:v>24.500000000000043</c:v>
                </c:pt>
                <c:pt idx="380">
                  <c:v>24.600000000000044</c:v>
                </c:pt>
                <c:pt idx="381">
                  <c:v>24.700000000000045</c:v>
                </c:pt>
                <c:pt idx="382">
                  <c:v>24.800000000000047</c:v>
                </c:pt>
                <c:pt idx="383">
                  <c:v>24.900000000000048</c:v>
                </c:pt>
                <c:pt idx="384">
                  <c:v>25.00000000000005</c:v>
                </c:pt>
                <c:pt idx="385">
                  <c:v>25.100000000000051</c:v>
                </c:pt>
                <c:pt idx="386">
                  <c:v>25.200000000000053</c:v>
                </c:pt>
                <c:pt idx="387">
                  <c:v>25.300000000000054</c:v>
                </c:pt>
                <c:pt idx="388">
                  <c:v>25.400000000000055</c:v>
                </c:pt>
                <c:pt idx="389">
                  <c:v>25.500000000000057</c:v>
                </c:pt>
                <c:pt idx="390">
                  <c:v>25.600000000000058</c:v>
                </c:pt>
                <c:pt idx="391">
                  <c:v>25.70000000000006</c:v>
                </c:pt>
                <c:pt idx="392">
                  <c:v>25.800000000000061</c:v>
                </c:pt>
                <c:pt idx="393">
                  <c:v>25.900000000000063</c:v>
                </c:pt>
                <c:pt idx="394">
                  <c:v>26.000000000000064</c:v>
                </c:pt>
                <c:pt idx="395">
                  <c:v>26.100000000000065</c:v>
                </c:pt>
                <c:pt idx="396">
                  <c:v>26.200000000000067</c:v>
                </c:pt>
                <c:pt idx="397">
                  <c:v>26.300000000000068</c:v>
                </c:pt>
                <c:pt idx="398">
                  <c:v>26.40000000000007</c:v>
                </c:pt>
                <c:pt idx="399">
                  <c:v>26.500000000000071</c:v>
                </c:pt>
                <c:pt idx="400">
                  <c:v>26.600000000000072</c:v>
                </c:pt>
                <c:pt idx="401">
                  <c:v>26.700000000000074</c:v>
                </c:pt>
                <c:pt idx="402">
                  <c:v>26.800000000000075</c:v>
                </c:pt>
                <c:pt idx="403">
                  <c:v>26.900000000000077</c:v>
                </c:pt>
                <c:pt idx="404">
                  <c:v>27.000000000000078</c:v>
                </c:pt>
                <c:pt idx="405">
                  <c:v>27.10000000000008</c:v>
                </c:pt>
                <c:pt idx="406">
                  <c:v>27.200000000000081</c:v>
                </c:pt>
                <c:pt idx="407">
                  <c:v>27.300000000000082</c:v>
                </c:pt>
                <c:pt idx="408">
                  <c:v>27.400000000000084</c:v>
                </c:pt>
                <c:pt idx="409">
                  <c:v>27.500000000000085</c:v>
                </c:pt>
                <c:pt idx="410">
                  <c:v>27.600000000000087</c:v>
                </c:pt>
                <c:pt idx="411">
                  <c:v>27.700000000000088</c:v>
                </c:pt>
                <c:pt idx="412">
                  <c:v>27.80000000000009</c:v>
                </c:pt>
                <c:pt idx="413">
                  <c:v>27.900000000000091</c:v>
                </c:pt>
                <c:pt idx="414">
                  <c:v>28.000000000000092</c:v>
                </c:pt>
                <c:pt idx="415">
                  <c:v>28.100000000000094</c:v>
                </c:pt>
                <c:pt idx="416">
                  <c:v>28.200000000000095</c:v>
                </c:pt>
                <c:pt idx="417">
                  <c:v>28.300000000000097</c:v>
                </c:pt>
                <c:pt idx="418">
                  <c:v>28.400000000000098</c:v>
                </c:pt>
                <c:pt idx="419">
                  <c:v>28.500000000000099</c:v>
                </c:pt>
                <c:pt idx="420">
                  <c:v>28.600000000000101</c:v>
                </c:pt>
                <c:pt idx="421">
                  <c:v>28.700000000000102</c:v>
                </c:pt>
                <c:pt idx="422">
                  <c:v>28.800000000000104</c:v>
                </c:pt>
                <c:pt idx="423">
                  <c:v>28.900000000000105</c:v>
                </c:pt>
                <c:pt idx="424">
                  <c:v>29.000000000000107</c:v>
                </c:pt>
                <c:pt idx="425">
                  <c:v>29.100000000000108</c:v>
                </c:pt>
                <c:pt idx="426">
                  <c:v>29.200000000000109</c:v>
                </c:pt>
                <c:pt idx="427">
                  <c:v>29.300000000000111</c:v>
                </c:pt>
                <c:pt idx="428">
                  <c:v>29.400000000000112</c:v>
                </c:pt>
                <c:pt idx="429">
                  <c:v>29.500000000000114</c:v>
                </c:pt>
                <c:pt idx="430">
                  <c:v>29.600000000000115</c:v>
                </c:pt>
                <c:pt idx="431">
                  <c:v>29.700000000000117</c:v>
                </c:pt>
                <c:pt idx="432">
                  <c:v>29.800000000000118</c:v>
                </c:pt>
                <c:pt idx="433">
                  <c:v>29.900000000000119</c:v>
                </c:pt>
                <c:pt idx="434">
                  <c:v>30.000000000000121</c:v>
                </c:pt>
                <c:pt idx="435">
                  <c:v>30.100000000000122</c:v>
                </c:pt>
                <c:pt idx="436">
                  <c:v>30.200000000000124</c:v>
                </c:pt>
                <c:pt idx="437">
                  <c:v>30.300000000000125</c:v>
                </c:pt>
                <c:pt idx="438">
                  <c:v>30.400000000000126</c:v>
                </c:pt>
                <c:pt idx="439">
                  <c:v>30.500000000000128</c:v>
                </c:pt>
                <c:pt idx="440">
                  <c:v>30.600000000000129</c:v>
                </c:pt>
                <c:pt idx="441">
                  <c:v>30.700000000000131</c:v>
                </c:pt>
                <c:pt idx="442">
                  <c:v>30.800000000000132</c:v>
                </c:pt>
                <c:pt idx="443">
                  <c:v>30.900000000000134</c:v>
                </c:pt>
                <c:pt idx="444">
                  <c:v>31.000000000000135</c:v>
                </c:pt>
                <c:pt idx="445">
                  <c:v>31.100000000000136</c:v>
                </c:pt>
                <c:pt idx="446">
                  <c:v>31.200000000000138</c:v>
                </c:pt>
                <c:pt idx="447">
                  <c:v>31.300000000000139</c:v>
                </c:pt>
                <c:pt idx="448">
                  <c:v>31.400000000000141</c:v>
                </c:pt>
                <c:pt idx="449">
                  <c:v>31.500000000000142</c:v>
                </c:pt>
                <c:pt idx="450">
                  <c:v>31.600000000000144</c:v>
                </c:pt>
                <c:pt idx="451">
                  <c:v>31.700000000000145</c:v>
                </c:pt>
                <c:pt idx="452">
                  <c:v>31.800000000000146</c:v>
                </c:pt>
                <c:pt idx="453">
                  <c:v>31.900000000000148</c:v>
                </c:pt>
                <c:pt idx="454">
                  <c:v>32.000000000000149</c:v>
                </c:pt>
                <c:pt idx="455">
                  <c:v>32.100000000000151</c:v>
                </c:pt>
                <c:pt idx="456">
                  <c:v>32.200000000000152</c:v>
                </c:pt>
                <c:pt idx="457">
                  <c:v>32.300000000000153</c:v>
                </c:pt>
                <c:pt idx="458">
                  <c:v>32.400000000000155</c:v>
                </c:pt>
                <c:pt idx="459">
                  <c:v>32.500000000000156</c:v>
                </c:pt>
                <c:pt idx="460">
                  <c:v>32.600000000000158</c:v>
                </c:pt>
                <c:pt idx="461">
                  <c:v>32.700000000000159</c:v>
                </c:pt>
                <c:pt idx="462">
                  <c:v>32.800000000000161</c:v>
                </c:pt>
                <c:pt idx="463">
                  <c:v>32.900000000000162</c:v>
                </c:pt>
                <c:pt idx="464">
                  <c:v>33.000000000000163</c:v>
                </c:pt>
                <c:pt idx="465">
                  <c:v>33.100000000000165</c:v>
                </c:pt>
                <c:pt idx="466">
                  <c:v>33.200000000000166</c:v>
                </c:pt>
                <c:pt idx="467">
                  <c:v>33.300000000000168</c:v>
                </c:pt>
                <c:pt idx="468">
                  <c:v>33.400000000000169</c:v>
                </c:pt>
                <c:pt idx="469">
                  <c:v>33.500000000000171</c:v>
                </c:pt>
                <c:pt idx="470">
                  <c:v>33.600000000000172</c:v>
                </c:pt>
                <c:pt idx="471">
                  <c:v>33.700000000000173</c:v>
                </c:pt>
                <c:pt idx="472">
                  <c:v>33.800000000000175</c:v>
                </c:pt>
                <c:pt idx="473">
                  <c:v>33.900000000000176</c:v>
                </c:pt>
                <c:pt idx="474">
                  <c:v>34.000000000000178</c:v>
                </c:pt>
                <c:pt idx="475">
                  <c:v>34.100000000000179</c:v>
                </c:pt>
                <c:pt idx="476">
                  <c:v>34.20000000000018</c:v>
                </c:pt>
                <c:pt idx="477">
                  <c:v>34.300000000000182</c:v>
                </c:pt>
                <c:pt idx="478">
                  <c:v>34.400000000000183</c:v>
                </c:pt>
                <c:pt idx="479">
                  <c:v>34.500000000000185</c:v>
                </c:pt>
                <c:pt idx="480">
                  <c:v>34.600000000000186</c:v>
                </c:pt>
                <c:pt idx="481">
                  <c:v>34.700000000000188</c:v>
                </c:pt>
                <c:pt idx="482">
                  <c:v>34.800000000000189</c:v>
                </c:pt>
                <c:pt idx="483">
                  <c:v>34.90000000000019</c:v>
                </c:pt>
                <c:pt idx="484">
                  <c:v>35.000000000000192</c:v>
                </c:pt>
                <c:pt idx="485">
                  <c:v>35.100000000000193</c:v>
                </c:pt>
                <c:pt idx="486">
                  <c:v>35.200000000000195</c:v>
                </c:pt>
                <c:pt idx="487">
                  <c:v>35.300000000000196</c:v>
                </c:pt>
                <c:pt idx="488">
                  <c:v>35.400000000000198</c:v>
                </c:pt>
                <c:pt idx="489">
                  <c:v>35.500000000000199</c:v>
                </c:pt>
                <c:pt idx="490">
                  <c:v>35.6000000000002</c:v>
                </c:pt>
                <c:pt idx="491">
                  <c:v>35.700000000000202</c:v>
                </c:pt>
                <c:pt idx="492">
                  <c:v>35.800000000000203</c:v>
                </c:pt>
                <c:pt idx="493">
                  <c:v>35.900000000000205</c:v>
                </c:pt>
                <c:pt idx="494">
                  <c:v>36.000000000000206</c:v>
                </c:pt>
                <c:pt idx="495">
                  <c:v>36.100000000000207</c:v>
                </c:pt>
                <c:pt idx="496">
                  <c:v>36.200000000000209</c:v>
                </c:pt>
                <c:pt idx="497">
                  <c:v>36.30000000000021</c:v>
                </c:pt>
                <c:pt idx="498">
                  <c:v>36.400000000000212</c:v>
                </c:pt>
                <c:pt idx="499">
                  <c:v>36.500000000000213</c:v>
                </c:pt>
                <c:pt idx="500">
                  <c:v>36.600000000000215</c:v>
                </c:pt>
                <c:pt idx="501">
                  <c:v>36.700000000000216</c:v>
                </c:pt>
                <c:pt idx="502">
                  <c:v>36.800000000000217</c:v>
                </c:pt>
                <c:pt idx="503">
                  <c:v>36.900000000000219</c:v>
                </c:pt>
                <c:pt idx="504">
                  <c:v>37.00000000000022</c:v>
                </c:pt>
                <c:pt idx="505">
                  <c:v>37.000100000000224</c:v>
                </c:pt>
                <c:pt idx="506">
                  <c:v>37.000200000000227</c:v>
                </c:pt>
                <c:pt idx="507">
                  <c:v>37.00030000000023</c:v>
                </c:pt>
                <c:pt idx="508">
                  <c:v>37.000400000000234</c:v>
                </c:pt>
                <c:pt idx="509">
                  <c:v>37.000500000000237</c:v>
                </c:pt>
                <c:pt idx="510">
                  <c:v>37.00060000000024</c:v>
                </c:pt>
                <c:pt idx="511">
                  <c:v>37.000700000000244</c:v>
                </c:pt>
                <c:pt idx="512">
                  <c:v>37.000800000000247</c:v>
                </c:pt>
                <c:pt idx="513">
                  <c:v>37.00090000000025</c:v>
                </c:pt>
                <c:pt idx="514">
                  <c:v>37.001000000000253</c:v>
                </c:pt>
                <c:pt idx="515">
                  <c:v>37.001100000000257</c:v>
                </c:pt>
                <c:pt idx="516">
                  <c:v>37.00120000000026</c:v>
                </c:pt>
                <c:pt idx="517">
                  <c:v>37.001300000000263</c:v>
                </c:pt>
                <c:pt idx="518">
                  <c:v>37.001400000000267</c:v>
                </c:pt>
                <c:pt idx="519">
                  <c:v>37.00150000000027</c:v>
                </c:pt>
                <c:pt idx="520">
                  <c:v>37.001600000000273</c:v>
                </c:pt>
                <c:pt idx="521">
                  <c:v>37.001700000000277</c:v>
                </c:pt>
                <c:pt idx="522">
                  <c:v>37.00180000000028</c:v>
                </c:pt>
                <c:pt idx="523">
                  <c:v>37.001900000000283</c:v>
                </c:pt>
                <c:pt idx="524">
                  <c:v>37.002000000000287</c:v>
                </c:pt>
                <c:pt idx="525">
                  <c:v>37.00210000000029</c:v>
                </c:pt>
                <c:pt idx="526">
                  <c:v>37.002200000000293</c:v>
                </c:pt>
                <c:pt idx="527">
                  <c:v>37.002300000000297</c:v>
                </c:pt>
                <c:pt idx="528">
                  <c:v>37.0024000000003</c:v>
                </c:pt>
                <c:pt idx="529">
                  <c:v>37.002500000000303</c:v>
                </c:pt>
                <c:pt idx="530">
                  <c:v>37.002600000000307</c:v>
                </c:pt>
                <c:pt idx="531">
                  <c:v>37.00270000000031</c:v>
                </c:pt>
                <c:pt idx="532">
                  <c:v>37.002800000000313</c:v>
                </c:pt>
                <c:pt idx="533">
                  <c:v>37.002900000000317</c:v>
                </c:pt>
                <c:pt idx="534">
                  <c:v>37.00300000000032</c:v>
                </c:pt>
                <c:pt idx="535">
                  <c:v>37.003100000000323</c:v>
                </c:pt>
                <c:pt idx="536">
                  <c:v>37.003200000000326</c:v>
                </c:pt>
                <c:pt idx="537">
                  <c:v>37.00330000000033</c:v>
                </c:pt>
                <c:pt idx="538">
                  <c:v>37.003400000000333</c:v>
                </c:pt>
                <c:pt idx="539">
                  <c:v>37.003500000000336</c:v>
                </c:pt>
                <c:pt idx="540">
                  <c:v>37.00360000000034</c:v>
                </c:pt>
                <c:pt idx="541">
                  <c:v>37.003700000000343</c:v>
                </c:pt>
                <c:pt idx="542">
                  <c:v>37.003800000000346</c:v>
                </c:pt>
                <c:pt idx="543">
                  <c:v>37.00390000000035</c:v>
                </c:pt>
                <c:pt idx="544">
                  <c:v>37.004000000000353</c:v>
                </c:pt>
                <c:pt idx="545">
                  <c:v>37.004100000000356</c:v>
                </c:pt>
                <c:pt idx="546">
                  <c:v>37.00420000000036</c:v>
                </c:pt>
                <c:pt idx="547">
                  <c:v>37.004300000000363</c:v>
                </c:pt>
                <c:pt idx="548">
                  <c:v>37.004400000000366</c:v>
                </c:pt>
                <c:pt idx="549">
                  <c:v>37.00450000000037</c:v>
                </c:pt>
                <c:pt idx="550">
                  <c:v>37.004600000000373</c:v>
                </c:pt>
                <c:pt idx="551">
                  <c:v>37.004700000000376</c:v>
                </c:pt>
                <c:pt idx="552">
                  <c:v>37.00480000000038</c:v>
                </c:pt>
                <c:pt idx="553">
                  <c:v>37.004900000000383</c:v>
                </c:pt>
                <c:pt idx="554">
                  <c:v>37.005000000000386</c:v>
                </c:pt>
                <c:pt idx="555">
                  <c:v>37.00510000000039</c:v>
                </c:pt>
                <c:pt idx="556">
                  <c:v>37.005200000000393</c:v>
                </c:pt>
                <c:pt idx="557">
                  <c:v>37.005300000000396</c:v>
                </c:pt>
                <c:pt idx="558">
                  <c:v>37.0054000000004</c:v>
                </c:pt>
                <c:pt idx="559">
                  <c:v>37.005500000000403</c:v>
                </c:pt>
                <c:pt idx="560">
                  <c:v>37.005600000000406</c:v>
                </c:pt>
                <c:pt idx="561">
                  <c:v>37.005700000000409</c:v>
                </c:pt>
                <c:pt idx="562">
                  <c:v>37.005800000000413</c:v>
                </c:pt>
                <c:pt idx="563">
                  <c:v>37.005900000000416</c:v>
                </c:pt>
                <c:pt idx="564">
                  <c:v>37.006000000000419</c:v>
                </c:pt>
                <c:pt idx="565">
                  <c:v>37.006100000000423</c:v>
                </c:pt>
                <c:pt idx="566">
                  <c:v>37.006200000000426</c:v>
                </c:pt>
                <c:pt idx="567">
                  <c:v>37.006300000000429</c:v>
                </c:pt>
                <c:pt idx="568">
                  <c:v>37.006400000000433</c:v>
                </c:pt>
                <c:pt idx="569">
                  <c:v>37.006500000000436</c:v>
                </c:pt>
                <c:pt idx="570">
                  <c:v>37.006600000000439</c:v>
                </c:pt>
                <c:pt idx="571">
                  <c:v>37.006700000000443</c:v>
                </c:pt>
                <c:pt idx="572">
                  <c:v>37.006800000000446</c:v>
                </c:pt>
                <c:pt idx="573">
                  <c:v>37.006900000000449</c:v>
                </c:pt>
                <c:pt idx="574">
                  <c:v>37.007000000000453</c:v>
                </c:pt>
                <c:pt idx="575">
                  <c:v>37.007100000000456</c:v>
                </c:pt>
                <c:pt idx="576">
                  <c:v>37.007200000000459</c:v>
                </c:pt>
                <c:pt idx="577">
                  <c:v>37.007300000000463</c:v>
                </c:pt>
                <c:pt idx="578">
                  <c:v>37.007400000000466</c:v>
                </c:pt>
                <c:pt idx="579">
                  <c:v>37.007500000000469</c:v>
                </c:pt>
                <c:pt idx="580">
                  <c:v>37.007600000000473</c:v>
                </c:pt>
                <c:pt idx="581">
                  <c:v>37.007700000000476</c:v>
                </c:pt>
                <c:pt idx="582">
                  <c:v>37.007800000000479</c:v>
                </c:pt>
                <c:pt idx="583">
                  <c:v>37.007900000000483</c:v>
                </c:pt>
                <c:pt idx="584">
                  <c:v>37.008000000000486</c:v>
                </c:pt>
                <c:pt idx="585">
                  <c:v>37.008100000000489</c:v>
                </c:pt>
                <c:pt idx="586">
                  <c:v>37.008200000000492</c:v>
                </c:pt>
                <c:pt idx="587">
                  <c:v>37.008300000000496</c:v>
                </c:pt>
                <c:pt idx="588">
                  <c:v>37.008400000000499</c:v>
                </c:pt>
                <c:pt idx="589">
                  <c:v>37.008500000000502</c:v>
                </c:pt>
                <c:pt idx="590">
                  <c:v>37.008600000000506</c:v>
                </c:pt>
                <c:pt idx="591">
                  <c:v>37.008700000000509</c:v>
                </c:pt>
                <c:pt idx="592">
                  <c:v>37.008800000000512</c:v>
                </c:pt>
                <c:pt idx="593">
                  <c:v>37.008900000000516</c:v>
                </c:pt>
                <c:pt idx="594">
                  <c:v>37.009000000000519</c:v>
                </c:pt>
                <c:pt idx="595">
                  <c:v>37.009100000000522</c:v>
                </c:pt>
                <c:pt idx="596">
                  <c:v>37.009200000000526</c:v>
                </c:pt>
                <c:pt idx="597">
                  <c:v>37.009300000000529</c:v>
                </c:pt>
                <c:pt idx="598">
                  <c:v>37.009400000000532</c:v>
                </c:pt>
                <c:pt idx="599">
                  <c:v>37.009500000000536</c:v>
                </c:pt>
                <c:pt idx="600">
                  <c:v>37.009600000000539</c:v>
                </c:pt>
                <c:pt idx="601">
                  <c:v>37.009700000000542</c:v>
                </c:pt>
                <c:pt idx="602">
                  <c:v>37.009800000000546</c:v>
                </c:pt>
                <c:pt idx="603">
                  <c:v>37.009900000000549</c:v>
                </c:pt>
                <c:pt idx="604">
                  <c:v>37.010000000000552</c:v>
                </c:pt>
                <c:pt idx="605">
                  <c:v>37.010100000000556</c:v>
                </c:pt>
                <c:pt idx="606">
                  <c:v>37.010200000000559</c:v>
                </c:pt>
                <c:pt idx="607">
                  <c:v>37.010300000000562</c:v>
                </c:pt>
                <c:pt idx="608">
                  <c:v>37.010400000000566</c:v>
                </c:pt>
                <c:pt idx="609">
                  <c:v>37.010500000000569</c:v>
                </c:pt>
                <c:pt idx="610">
                  <c:v>37.010600000000572</c:v>
                </c:pt>
                <c:pt idx="611">
                  <c:v>37.010700000000575</c:v>
                </c:pt>
                <c:pt idx="612">
                  <c:v>37.010800000000579</c:v>
                </c:pt>
                <c:pt idx="613">
                  <c:v>37.010900000000582</c:v>
                </c:pt>
                <c:pt idx="614">
                  <c:v>37.011000000000585</c:v>
                </c:pt>
                <c:pt idx="615">
                  <c:v>37.011100000000589</c:v>
                </c:pt>
                <c:pt idx="616">
                  <c:v>37.011200000000592</c:v>
                </c:pt>
                <c:pt idx="617">
                  <c:v>37.011300000000595</c:v>
                </c:pt>
                <c:pt idx="618">
                  <c:v>37.011400000000599</c:v>
                </c:pt>
                <c:pt idx="619">
                  <c:v>37.011500000000602</c:v>
                </c:pt>
                <c:pt idx="620">
                  <c:v>37.011600000000605</c:v>
                </c:pt>
                <c:pt idx="621">
                  <c:v>37.011700000000609</c:v>
                </c:pt>
                <c:pt idx="622">
                  <c:v>37.011800000000612</c:v>
                </c:pt>
                <c:pt idx="623">
                  <c:v>37.011900000000615</c:v>
                </c:pt>
                <c:pt idx="624">
                  <c:v>37.012000000000619</c:v>
                </c:pt>
                <c:pt idx="625">
                  <c:v>37.012100000000622</c:v>
                </c:pt>
                <c:pt idx="626">
                  <c:v>37.012200000000625</c:v>
                </c:pt>
                <c:pt idx="627">
                  <c:v>37.012300000000629</c:v>
                </c:pt>
                <c:pt idx="628">
                  <c:v>37.012400000000632</c:v>
                </c:pt>
                <c:pt idx="629">
                  <c:v>37.012500000000635</c:v>
                </c:pt>
                <c:pt idx="630">
                  <c:v>37.012600000000639</c:v>
                </c:pt>
                <c:pt idx="631">
                  <c:v>37.012700000000642</c:v>
                </c:pt>
                <c:pt idx="632">
                  <c:v>37.012800000000645</c:v>
                </c:pt>
                <c:pt idx="633">
                  <c:v>37.012900000000649</c:v>
                </c:pt>
                <c:pt idx="634">
                  <c:v>37.013000000000652</c:v>
                </c:pt>
                <c:pt idx="635">
                  <c:v>37.013100000000655</c:v>
                </c:pt>
                <c:pt idx="636">
                  <c:v>37.013200000000658</c:v>
                </c:pt>
                <c:pt idx="637">
                  <c:v>37.013300000000662</c:v>
                </c:pt>
                <c:pt idx="638">
                  <c:v>37.013400000000665</c:v>
                </c:pt>
                <c:pt idx="639">
                  <c:v>37.013500000000668</c:v>
                </c:pt>
                <c:pt idx="640">
                  <c:v>37.013600000000672</c:v>
                </c:pt>
                <c:pt idx="641">
                  <c:v>37.013700000000675</c:v>
                </c:pt>
                <c:pt idx="642">
                  <c:v>37.013800000000678</c:v>
                </c:pt>
                <c:pt idx="643">
                  <c:v>37.013900000000682</c:v>
                </c:pt>
                <c:pt idx="644">
                  <c:v>37.014000000000685</c:v>
                </c:pt>
                <c:pt idx="645">
                  <c:v>37.014100000000688</c:v>
                </c:pt>
                <c:pt idx="646">
                  <c:v>37.014200000000692</c:v>
                </c:pt>
                <c:pt idx="647">
                  <c:v>37.014300000000695</c:v>
                </c:pt>
                <c:pt idx="648">
                  <c:v>37.014400000000698</c:v>
                </c:pt>
                <c:pt idx="649">
                  <c:v>37.014500000000702</c:v>
                </c:pt>
                <c:pt idx="650">
                  <c:v>37.014600000000705</c:v>
                </c:pt>
                <c:pt idx="651">
                  <c:v>37.014700000000708</c:v>
                </c:pt>
                <c:pt idx="652">
                  <c:v>37.014800000000712</c:v>
                </c:pt>
                <c:pt idx="653">
                  <c:v>37.014900000000715</c:v>
                </c:pt>
                <c:pt idx="654">
                  <c:v>37.015000000000718</c:v>
                </c:pt>
                <c:pt idx="655">
                  <c:v>37.015100000000722</c:v>
                </c:pt>
                <c:pt idx="656">
                  <c:v>37.015200000000725</c:v>
                </c:pt>
                <c:pt idx="657">
                  <c:v>37.015300000000728</c:v>
                </c:pt>
                <c:pt idx="658">
                  <c:v>37.015400000000731</c:v>
                </c:pt>
                <c:pt idx="659">
                  <c:v>37.015500000000735</c:v>
                </c:pt>
                <c:pt idx="660">
                  <c:v>37.015600000000738</c:v>
                </c:pt>
                <c:pt idx="661">
                  <c:v>37.015700000000741</c:v>
                </c:pt>
                <c:pt idx="662">
                  <c:v>37.015800000000745</c:v>
                </c:pt>
                <c:pt idx="663">
                  <c:v>37.015900000000748</c:v>
                </c:pt>
                <c:pt idx="664">
                  <c:v>37.016000000000751</c:v>
                </c:pt>
                <c:pt idx="665">
                  <c:v>37.016100000000755</c:v>
                </c:pt>
                <c:pt idx="666">
                  <c:v>37.016200000000758</c:v>
                </c:pt>
                <c:pt idx="667">
                  <c:v>37.016300000000761</c:v>
                </c:pt>
                <c:pt idx="668">
                  <c:v>37.016400000000765</c:v>
                </c:pt>
                <c:pt idx="669">
                  <c:v>37.016500000000768</c:v>
                </c:pt>
                <c:pt idx="670">
                  <c:v>37.016600000000771</c:v>
                </c:pt>
                <c:pt idx="671">
                  <c:v>37.016700000000775</c:v>
                </c:pt>
                <c:pt idx="672">
                  <c:v>37.016800000000778</c:v>
                </c:pt>
                <c:pt idx="673">
                  <c:v>37.016900000000781</c:v>
                </c:pt>
                <c:pt idx="674">
                  <c:v>37.017000000000785</c:v>
                </c:pt>
                <c:pt idx="675">
                  <c:v>37.017100000000788</c:v>
                </c:pt>
                <c:pt idx="676">
                  <c:v>37.017200000000791</c:v>
                </c:pt>
                <c:pt idx="677">
                  <c:v>37.017300000000795</c:v>
                </c:pt>
                <c:pt idx="678">
                  <c:v>37.017400000000798</c:v>
                </c:pt>
                <c:pt idx="679">
                  <c:v>37.017500000000801</c:v>
                </c:pt>
                <c:pt idx="680">
                  <c:v>37.017600000000805</c:v>
                </c:pt>
                <c:pt idx="681">
                  <c:v>37.017700000000808</c:v>
                </c:pt>
                <c:pt idx="682">
                  <c:v>37.017800000000811</c:v>
                </c:pt>
                <c:pt idx="683">
                  <c:v>37.017900000000814</c:v>
                </c:pt>
                <c:pt idx="684">
                  <c:v>37.018000000000818</c:v>
                </c:pt>
                <c:pt idx="685">
                  <c:v>37.018100000000821</c:v>
                </c:pt>
                <c:pt idx="686">
                  <c:v>37.018200000000824</c:v>
                </c:pt>
                <c:pt idx="687">
                  <c:v>37.018300000000828</c:v>
                </c:pt>
                <c:pt idx="688">
                  <c:v>37.018400000000831</c:v>
                </c:pt>
                <c:pt idx="689">
                  <c:v>37.018500000000834</c:v>
                </c:pt>
                <c:pt idx="690">
                  <c:v>37.018600000000838</c:v>
                </c:pt>
                <c:pt idx="691">
                  <c:v>37.018700000000841</c:v>
                </c:pt>
                <c:pt idx="692">
                  <c:v>37.018800000000844</c:v>
                </c:pt>
                <c:pt idx="693">
                  <c:v>37.018900000000848</c:v>
                </c:pt>
                <c:pt idx="694">
                  <c:v>37.019000000000851</c:v>
                </c:pt>
                <c:pt idx="695">
                  <c:v>37.019100000000854</c:v>
                </c:pt>
                <c:pt idx="696">
                  <c:v>37.019200000000858</c:v>
                </c:pt>
                <c:pt idx="697">
                  <c:v>37.019300000000861</c:v>
                </c:pt>
                <c:pt idx="698">
                  <c:v>37.019400000000864</c:v>
                </c:pt>
                <c:pt idx="699">
                  <c:v>37.019500000000868</c:v>
                </c:pt>
                <c:pt idx="700">
                  <c:v>37.019600000000871</c:v>
                </c:pt>
                <c:pt idx="701">
                  <c:v>37.019700000000874</c:v>
                </c:pt>
                <c:pt idx="702">
                  <c:v>37.019800000000878</c:v>
                </c:pt>
                <c:pt idx="703">
                  <c:v>37.019900000000881</c:v>
                </c:pt>
                <c:pt idx="704">
                  <c:v>37.020000000000884</c:v>
                </c:pt>
                <c:pt idx="705">
                  <c:v>37.020100000000888</c:v>
                </c:pt>
                <c:pt idx="706">
                  <c:v>37.020200000000891</c:v>
                </c:pt>
                <c:pt idx="707">
                  <c:v>37.020300000000894</c:v>
                </c:pt>
                <c:pt idx="708">
                  <c:v>37.020400000000897</c:v>
                </c:pt>
                <c:pt idx="709">
                  <c:v>37.020500000000901</c:v>
                </c:pt>
                <c:pt idx="710">
                  <c:v>37.020600000000904</c:v>
                </c:pt>
                <c:pt idx="711">
                  <c:v>37.020700000000907</c:v>
                </c:pt>
                <c:pt idx="712">
                  <c:v>37.020800000000911</c:v>
                </c:pt>
                <c:pt idx="713">
                  <c:v>37.020900000000914</c:v>
                </c:pt>
                <c:pt idx="714">
                  <c:v>37.021000000000917</c:v>
                </c:pt>
                <c:pt idx="715">
                  <c:v>37.021100000000921</c:v>
                </c:pt>
                <c:pt idx="716">
                  <c:v>37.021200000000924</c:v>
                </c:pt>
                <c:pt idx="717">
                  <c:v>37.021300000000927</c:v>
                </c:pt>
                <c:pt idx="718">
                  <c:v>37.021400000000931</c:v>
                </c:pt>
                <c:pt idx="719">
                  <c:v>37.021500000000934</c:v>
                </c:pt>
                <c:pt idx="720">
                  <c:v>37.021600000000937</c:v>
                </c:pt>
                <c:pt idx="721">
                  <c:v>37.021700000000941</c:v>
                </c:pt>
                <c:pt idx="722">
                  <c:v>37.021800000000944</c:v>
                </c:pt>
                <c:pt idx="723">
                  <c:v>37.021900000000947</c:v>
                </c:pt>
                <c:pt idx="724">
                  <c:v>37.022000000000951</c:v>
                </c:pt>
                <c:pt idx="725">
                  <c:v>37.022100000000954</c:v>
                </c:pt>
                <c:pt idx="726">
                  <c:v>37.022200000000957</c:v>
                </c:pt>
                <c:pt idx="727">
                  <c:v>37.022300000000961</c:v>
                </c:pt>
                <c:pt idx="728">
                  <c:v>37.022400000000964</c:v>
                </c:pt>
                <c:pt idx="729">
                  <c:v>37.022500000000967</c:v>
                </c:pt>
                <c:pt idx="730">
                  <c:v>37.022600000000971</c:v>
                </c:pt>
                <c:pt idx="731">
                  <c:v>37.022700000000974</c:v>
                </c:pt>
                <c:pt idx="732">
                  <c:v>37.022800000000977</c:v>
                </c:pt>
                <c:pt idx="733">
                  <c:v>37.02290000000098</c:v>
                </c:pt>
                <c:pt idx="734">
                  <c:v>37.023000000000984</c:v>
                </c:pt>
                <c:pt idx="735">
                  <c:v>37.023100000000987</c:v>
                </c:pt>
                <c:pt idx="736">
                  <c:v>37.02320000000099</c:v>
                </c:pt>
                <c:pt idx="737">
                  <c:v>37.023300000000994</c:v>
                </c:pt>
                <c:pt idx="738">
                  <c:v>37.023400000000997</c:v>
                </c:pt>
                <c:pt idx="739">
                  <c:v>37.023500000001</c:v>
                </c:pt>
                <c:pt idx="740">
                  <c:v>37.023600000001004</c:v>
                </c:pt>
                <c:pt idx="741">
                  <c:v>37.023700000001007</c:v>
                </c:pt>
                <c:pt idx="742">
                  <c:v>37.02380000000101</c:v>
                </c:pt>
                <c:pt idx="743">
                  <c:v>37.023900000001014</c:v>
                </c:pt>
                <c:pt idx="744">
                  <c:v>37.024000000001017</c:v>
                </c:pt>
                <c:pt idx="745">
                  <c:v>37.02410000000102</c:v>
                </c:pt>
                <c:pt idx="746">
                  <c:v>37.024200000001024</c:v>
                </c:pt>
                <c:pt idx="747">
                  <c:v>37.024300000001027</c:v>
                </c:pt>
                <c:pt idx="748">
                  <c:v>37.02440000000103</c:v>
                </c:pt>
                <c:pt idx="749">
                  <c:v>37.024500000001034</c:v>
                </c:pt>
                <c:pt idx="750">
                  <c:v>37.024600000001037</c:v>
                </c:pt>
                <c:pt idx="751">
                  <c:v>37.02470000000104</c:v>
                </c:pt>
                <c:pt idx="752">
                  <c:v>37.024800000001044</c:v>
                </c:pt>
                <c:pt idx="753">
                  <c:v>37.024900000001047</c:v>
                </c:pt>
                <c:pt idx="754">
                  <c:v>37.02500000000105</c:v>
                </c:pt>
                <c:pt idx="755">
                  <c:v>37.025100000001054</c:v>
                </c:pt>
                <c:pt idx="756">
                  <c:v>37.025200000001057</c:v>
                </c:pt>
                <c:pt idx="757">
                  <c:v>37.02530000000106</c:v>
                </c:pt>
                <c:pt idx="758">
                  <c:v>37.025400000001063</c:v>
                </c:pt>
                <c:pt idx="759">
                  <c:v>37.025500000001067</c:v>
                </c:pt>
                <c:pt idx="760">
                  <c:v>37.02560000000107</c:v>
                </c:pt>
                <c:pt idx="761">
                  <c:v>37.025700000001073</c:v>
                </c:pt>
                <c:pt idx="762">
                  <c:v>37.025800000001077</c:v>
                </c:pt>
                <c:pt idx="763">
                  <c:v>37.02590000000108</c:v>
                </c:pt>
                <c:pt idx="764">
                  <c:v>37.026000000001083</c:v>
                </c:pt>
                <c:pt idx="765">
                  <c:v>37.026100000001087</c:v>
                </c:pt>
                <c:pt idx="766">
                  <c:v>37.02620000000109</c:v>
                </c:pt>
                <c:pt idx="767">
                  <c:v>37.026300000001093</c:v>
                </c:pt>
                <c:pt idx="768">
                  <c:v>37.026400000001097</c:v>
                </c:pt>
                <c:pt idx="769">
                  <c:v>37.0265000000011</c:v>
                </c:pt>
                <c:pt idx="770">
                  <c:v>37.026600000001103</c:v>
                </c:pt>
                <c:pt idx="771">
                  <c:v>37.026700000001107</c:v>
                </c:pt>
                <c:pt idx="772">
                  <c:v>37.02680000000111</c:v>
                </c:pt>
                <c:pt idx="773">
                  <c:v>37.026900000001113</c:v>
                </c:pt>
                <c:pt idx="774">
                  <c:v>37.027000000001117</c:v>
                </c:pt>
                <c:pt idx="775">
                  <c:v>37.02710000000112</c:v>
                </c:pt>
                <c:pt idx="776">
                  <c:v>37.027200000001123</c:v>
                </c:pt>
                <c:pt idx="777">
                  <c:v>37.027300000001127</c:v>
                </c:pt>
                <c:pt idx="778">
                  <c:v>37.02740000000113</c:v>
                </c:pt>
                <c:pt idx="779">
                  <c:v>37.027500000001133</c:v>
                </c:pt>
                <c:pt idx="780">
                  <c:v>37.027600000001136</c:v>
                </c:pt>
                <c:pt idx="781">
                  <c:v>37.02770000000114</c:v>
                </c:pt>
                <c:pt idx="782">
                  <c:v>37.027800000001143</c:v>
                </c:pt>
                <c:pt idx="783">
                  <c:v>37.027900000001146</c:v>
                </c:pt>
                <c:pt idx="784">
                  <c:v>37.02800000000115</c:v>
                </c:pt>
                <c:pt idx="785">
                  <c:v>37.028100000001153</c:v>
                </c:pt>
                <c:pt idx="786">
                  <c:v>37.028200000001156</c:v>
                </c:pt>
                <c:pt idx="787">
                  <c:v>37.02830000000116</c:v>
                </c:pt>
                <c:pt idx="788">
                  <c:v>37.028400000001163</c:v>
                </c:pt>
                <c:pt idx="789">
                  <c:v>37.028500000001166</c:v>
                </c:pt>
                <c:pt idx="790">
                  <c:v>37.02860000000117</c:v>
                </c:pt>
                <c:pt idx="791">
                  <c:v>37.028700000001173</c:v>
                </c:pt>
                <c:pt idx="792">
                  <c:v>37.028800000001176</c:v>
                </c:pt>
                <c:pt idx="793">
                  <c:v>37.02890000000118</c:v>
                </c:pt>
                <c:pt idx="794">
                  <c:v>37.029000000001183</c:v>
                </c:pt>
                <c:pt idx="795">
                  <c:v>37.029100000001186</c:v>
                </c:pt>
                <c:pt idx="796">
                  <c:v>37.02920000000119</c:v>
                </c:pt>
                <c:pt idx="797">
                  <c:v>37.029300000001193</c:v>
                </c:pt>
                <c:pt idx="798">
                  <c:v>37.029400000001196</c:v>
                </c:pt>
                <c:pt idx="799">
                  <c:v>37.0295000000012</c:v>
                </c:pt>
                <c:pt idx="800">
                  <c:v>37.029600000001203</c:v>
                </c:pt>
                <c:pt idx="801">
                  <c:v>37.029700000001206</c:v>
                </c:pt>
                <c:pt idx="802">
                  <c:v>37.02980000000121</c:v>
                </c:pt>
                <c:pt idx="803">
                  <c:v>37.029900000001213</c:v>
                </c:pt>
                <c:pt idx="804">
                  <c:v>37.030000000001216</c:v>
                </c:pt>
                <c:pt idx="805">
                  <c:v>37.030100000001219</c:v>
                </c:pt>
                <c:pt idx="806">
                  <c:v>37.030200000001223</c:v>
                </c:pt>
                <c:pt idx="807">
                  <c:v>37.030300000001226</c:v>
                </c:pt>
                <c:pt idx="808">
                  <c:v>37.030400000001229</c:v>
                </c:pt>
                <c:pt idx="809">
                  <c:v>37.030500000001233</c:v>
                </c:pt>
                <c:pt idx="810">
                  <c:v>37.030600000001236</c:v>
                </c:pt>
                <c:pt idx="811">
                  <c:v>37.030700000001239</c:v>
                </c:pt>
                <c:pt idx="812">
                  <c:v>37.030800000001243</c:v>
                </c:pt>
                <c:pt idx="813">
                  <c:v>37.030900000001246</c:v>
                </c:pt>
                <c:pt idx="814">
                  <c:v>37.031000000001249</c:v>
                </c:pt>
                <c:pt idx="815">
                  <c:v>37.031100000001253</c:v>
                </c:pt>
                <c:pt idx="816">
                  <c:v>37.031200000001256</c:v>
                </c:pt>
                <c:pt idx="817">
                  <c:v>37.031300000001259</c:v>
                </c:pt>
                <c:pt idx="818">
                  <c:v>37.031400000001263</c:v>
                </c:pt>
                <c:pt idx="819">
                  <c:v>37.031500000001266</c:v>
                </c:pt>
                <c:pt idx="820">
                  <c:v>37.031600000001269</c:v>
                </c:pt>
                <c:pt idx="821">
                  <c:v>37.031700000001273</c:v>
                </c:pt>
                <c:pt idx="822">
                  <c:v>37.031800000001276</c:v>
                </c:pt>
                <c:pt idx="823">
                  <c:v>37.031900000001279</c:v>
                </c:pt>
                <c:pt idx="824">
                  <c:v>37.032000000001283</c:v>
                </c:pt>
                <c:pt idx="825">
                  <c:v>37.032100000001286</c:v>
                </c:pt>
                <c:pt idx="826">
                  <c:v>37.032200000001289</c:v>
                </c:pt>
                <c:pt idx="827">
                  <c:v>37.032300000001293</c:v>
                </c:pt>
                <c:pt idx="828">
                  <c:v>37.032400000001296</c:v>
                </c:pt>
                <c:pt idx="829">
                  <c:v>37.032500000001299</c:v>
                </c:pt>
                <c:pt idx="830">
                  <c:v>37.032600000001302</c:v>
                </c:pt>
                <c:pt idx="831">
                  <c:v>37.032700000001306</c:v>
                </c:pt>
                <c:pt idx="832">
                  <c:v>37.032800000001309</c:v>
                </c:pt>
                <c:pt idx="833">
                  <c:v>37.032900000001312</c:v>
                </c:pt>
                <c:pt idx="834">
                  <c:v>37.033000000001316</c:v>
                </c:pt>
                <c:pt idx="835">
                  <c:v>37.033100000001319</c:v>
                </c:pt>
                <c:pt idx="836">
                  <c:v>37.033200000001322</c:v>
                </c:pt>
                <c:pt idx="837">
                  <c:v>37.033300000001326</c:v>
                </c:pt>
                <c:pt idx="838">
                  <c:v>37.033400000001329</c:v>
                </c:pt>
                <c:pt idx="839">
                  <c:v>37.033500000001332</c:v>
                </c:pt>
                <c:pt idx="840">
                  <c:v>37.033600000001336</c:v>
                </c:pt>
                <c:pt idx="841">
                  <c:v>37.033700000001339</c:v>
                </c:pt>
                <c:pt idx="842">
                  <c:v>37.033800000001342</c:v>
                </c:pt>
                <c:pt idx="843">
                  <c:v>37.033900000001346</c:v>
                </c:pt>
                <c:pt idx="844">
                  <c:v>37.034000000001349</c:v>
                </c:pt>
                <c:pt idx="845">
                  <c:v>37.034100000001352</c:v>
                </c:pt>
                <c:pt idx="846">
                  <c:v>37.034200000001356</c:v>
                </c:pt>
                <c:pt idx="847">
                  <c:v>37.034300000001359</c:v>
                </c:pt>
                <c:pt idx="848">
                  <c:v>37.034400000001362</c:v>
                </c:pt>
                <c:pt idx="849">
                  <c:v>37.034500000001366</c:v>
                </c:pt>
                <c:pt idx="850">
                  <c:v>37.034600000001369</c:v>
                </c:pt>
                <c:pt idx="851">
                  <c:v>37.034700000001372</c:v>
                </c:pt>
                <c:pt idx="852">
                  <c:v>37.034800000001376</c:v>
                </c:pt>
                <c:pt idx="853">
                  <c:v>37.034900000001379</c:v>
                </c:pt>
                <c:pt idx="854">
                  <c:v>37.035000000001382</c:v>
                </c:pt>
                <c:pt idx="855">
                  <c:v>37.035100000001385</c:v>
                </c:pt>
                <c:pt idx="856">
                  <c:v>37.035200000001389</c:v>
                </c:pt>
                <c:pt idx="857">
                  <c:v>37.035300000001392</c:v>
                </c:pt>
                <c:pt idx="858">
                  <c:v>37.035400000001395</c:v>
                </c:pt>
                <c:pt idx="859">
                  <c:v>37.035500000001399</c:v>
                </c:pt>
                <c:pt idx="860">
                  <c:v>37.035600000001402</c:v>
                </c:pt>
                <c:pt idx="861">
                  <c:v>37.035700000001405</c:v>
                </c:pt>
                <c:pt idx="862">
                  <c:v>37.035800000001409</c:v>
                </c:pt>
                <c:pt idx="863">
                  <c:v>37.035900000001412</c:v>
                </c:pt>
                <c:pt idx="864">
                  <c:v>37.036000000001415</c:v>
                </c:pt>
                <c:pt idx="865">
                  <c:v>37.036100000001419</c:v>
                </c:pt>
                <c:pt idx="866">
                  <c:v>37.036200000001422</c:v>
                </c:pt>
                <c:pt idx="867">
                  <c:v>37.036300000001425</c:v>
                </c:pt>
                <c:pt idx="868">
                  <c:v>37.036400000001429</c:v>
                </c:pt>
                <c:pt idx="869">
                  <c:v>37.036500000001432</c:v>
                </c:pt>
                <c:pt idx="870">
                  <c:v>37.036600000001435</c:v>
                </c:pt>
                <c:pt idx="871">
                  <c:v>37.036700000001439</c:v>
                </c:pt>
                <c:pt idx="872">
                  <c:v>37.036800000001442</c:v>
                </c:pt>
                <c:pt idx="873">
                  <c:v>37.036900000001445</c:v>
                </c:pt>
                <c:pt idx="874">
                  <c:v>37.037000000001449</c:v>
                </c:pt>
                <c:pt idx="875">
                  <c:v>37.037100000001452</c:v>
                </c:pt>
                <c:pt idx="876">
                  <c:v>37.037200000001455</c:v>
                </c:pt>
                <c:pt idx="877">
                  <c:v>37.037300000001458</c:v>
                </c:pt>
                <c:pt idx="878">
                  <c:v>37.037400000001462</c:v>
                </c:pt>
                <c:pt idx="879">
                  <c:v>37.037500000001465</c:v>
                </c:pt>
                <c:pt idx="880">
                  <c:v>37.037600000001468</c:v>
                </c:pt>
                <c:pt idx="881">
                  <c:v>37.037700000001472</c:v>
                </c:pt>
                <c:pt idx="882">
                  <c:v>37.037800000001475</c:v>
                </c:pt>
                <c:pt idx="883">
                  <c:v>37.037900000001478</c:v>
                </c:pt>
                <c:pt idx="884">
                  <c:v>37.038000000001482</c:v>
                </c:pt>
                <c:pt idx="885">
                  <c:v>37.038100000001485</c:v>
                </c:pt>
                <c:pt idx="886">
                  <c:v>37.038200000001488</c:v>
                </c:pt>
                <c:pt idx="887">
                  <c:v>37.038300000001492</c:v>
                </c:pt>
                <c:pt idx="888">
                  <c:v>37.038400000001495</c:v>
                </c:pt>
                <c:pt idx="889">
                  <c:v>37.038500000001498</c:v>
                </c:pt>
                <c:pt idx="890">
                  <c:v>37.038600000001502</c:v>
                </c:pt>
                <c:pt idx="891">
                  <c:v>37.038700000001505</c:v>
                </c:pt>
                <c:pt idx="892">
                  <c:v>37.038800000001508</c:v>
                </c:pt>
                <c:pt idx="893">
                  <c:v>37.038900000001512</c:v>
                </c:pt>
                <c:pt idx="894">
                  <c:v>37.039000000001515</c:v>
                </c:pt>
                <c:pt idx="895">
                  <c:v>37.039100000001518</c:v>
                </c:pt>
                <c:pt idx="896">
                  <c:v>37.039200000001522</c:v>
                </c:pt>
                <c:pt idx="897">
                  <c:v>37.039300000001525</c:v>
                </c:pt>
                <c:pt idx="898">
                  <c:v>37.039400000001528</c:v>
                </c:pt>
                <c:pt idx="899">
                  <c:v>37.039500000001532</c:v>
                </c:pt>
                <c:pt idx="900">
                  <c:v>37.039600000001535</c:v>
                </c:pt>
                <c:pt idx="901">
                  <c:v>37.039700000001538</c:v>
                </c:pt>
                <c:pt idx="902">
                  <c:v>37.039800000001541</c:v>
                </c:pt>
                <c:pt idx="903">
                  <c:v>37.039900000001545</c:v>
                </c:pt>
                <c:pt idx="904">
                  <c:v>37.040000000001548</c:v>
                </c:pt>
                <c:pt idx="905">
                  <c:v>37.040100000001551</c:v>
                </c:pt>
                <c:pt idx="906">
                  <c:v>37.040200000001555</c:v>
                </c:pt>
                <c:pt idx="907">
                  <c:v>37.040300000001558</c:v>
                </c:pt>
                <c:pt idx="908">
                  <c:v>37.040400000001561</c:v>
                </c:pt>
                <c:pt idx="909">
                  <c:v>37.040500000001565</c:v>
                </c:pt>
                <c:pt idx="910">
                  <c:v>37.040600000001568</c:v>
                </c:pt>
                <c:pt idx="911">
                  <c:v>37.040700000001571</c:v>
                </c:pt>
                <c:pt idx="912">
                  <c:v>37.040800000001575</c:v>
                </c:pt>
                <c:pt idx="913">
                  <c:v>37.040900000001578</c:v>
                </c:pt>
                <c:pt idx="914">
                  <c:v>37.041000000001581</c:v>
                </c:pt>
                <c:pt idx="915">
                  <c:v>37.041100000001585</c:v>
                </c:pt>
                <c:pt idx="916">
                  <c:v>37.041200000001588</c:v>
                </c:pt>
                <c:pt idx="917">
                  <c:v>37.041300000001591</c:v>
                </c:pt>
                <c:pt idx="918">
                  <c:v>37.041400000001595</c:v>
                </c:pt>
                <c:pt idx="919">
                  <c:v>37.041500000001598</c:v>
                </c:pt>
                <c:pt idx="920">
                  <c:v>37.041600000001601</c:v>
                </c:pt>
                <c:pt idx="921">
                  <c:v>37.041700000001605</c:v>
                </c:pt>
                <c:pt idx="922">
                  <c:v>37.041800000001608</c:v>
                </c:pt>
                <c:pt idx="923">
                  <c:v>37.041900000001611</c:v>
                </c:pt>
                <c:pt idx="924">
                  <c:v>37.042000000001615</c:v>
                </c:pt>
                <c:pt idx="925">
                  <c:v>37.042100000001618</c:v>
                </c:pt>
                <c:pt idx="926">
                  <c:v>37.042200000001621</c:v>
                </c:pt>
                <c:pt idx="927">
                  <c:v>37.042300000001624</c:v>
                </c:pt>
                <c:pt idx="928">
                  <c:v>37.042400000001628</c:v>
                </c:pt>
                <c:pt idx="929">
                  <c:v>37.042500000001631</c:v>
                </c:pt>
                <c:pt idx="930">
                  <c:v>37.042600000001634</c:v>
                </c:pt>
                <c:pt idx="931">
                  <c:v>37.042700000001638</c:v>
                </c:pt>
                <c:pt idx="932">
                  <c:v>37.042800000001641</c:v>
                </c:pt>
                <c:pt idx="933">
                  <c:v>37.042900000001644</c:v>
                </c:pt>
                <c:pt idx="934">
                  <c:v>37.043000000001648</c:v>
                </c:pt>
                <c:pt idx="935">
                  <c:v>37.043100000001651</c:v>
                </c:pt>
                <c:pt idx="936">
                  <c:v>37.043200000001654</c:v>
                </c:pt>
                <c:pt idx="937">
                  <c:v>37.043300000001658</c:v>
                </c:pt>
                <c:pt idx="938">
                  <c:v>37.043400000001661</c:v>
                </c:pt>
                <c:pt idx="939">
                  <c:v>37.043500000001664</c:v>
                </c:pt>
                <c:pt idx="940">
                  <c:v>37.043600000001668</c:v>
                </c:pt>
                <c:pt idx="941">
                  <c:v>37.043700000001671</c:v>
                </c:pt>
                <c:pt idx="942">
                  <c:v>37.043800000001674</c:v>
                </c:pt>
                <c:pt idx="943">
                  <c:v>37.043900000001678</c:v>
                </c:pt>
                <c:pt idx="944">
                  <c:v>37.044000000001681</c:v>
                </c:pt>
                <c:pt idx="945">
                  <c:v>37.044100000001684</c:v>
                </c:pt>
                <c:pt idx="946">
                  <c:v>37.044200000001688</c:v>
                </c:pt>
                <c:pt idx="947">
                  <c:v>37.044300000001691</c:v>
                </c:pt>
                <c:pt idx="948">
                  <c:v>37.044400000001694</c:v>
                </c:pt>
                <c:pt idx="949">
                  <c:v>37.044500000001698</c:v>
                </c:pt>
                <c:pt idx="950">
                  <c:v>37.044600000001701</c:v>
                </c:pt>
                <c:pt idx="951">
                  <c:v>37.044700000001704</c:v>
                </c:pt>
                <c:pt idx="952">
                  <c:v>37.044800000001707</c:v>
                </c:pt>
                <c:pt idx="953">
                  <c:v>37.044900000001711</c:v>
                </c:pt>
                <c:pt idx="954">
                  <c:v>37.045000000001714</c:v>
                </c:pt>
                <c:pt idx="955">
                  <c:v>37.045100000001717</c:v>
                </c:pt>
                <c:pt idx="956">
                  <c:v>37.045200000001721</c:v>
                </c:pt>
                <c:pt idx="957">
                  <c:v>37.045300000001724</c:v>
                </c:pt>
                <c:pt idx="958">
                  <c:v>37.045400000001727</c:v>
                </c:pt>
                <c:pt idx="959">
                  <c:v>37.045500000001731</c:v>
                </c:pt>
                <c:pt idx="960">
                  <c:v>37.045600000001734</c:v>
                </c:pt>
                <c:pt idx="961">
                  <c:v>37.045700000001737</c:v>
                </c:pt>
                <c:pt idx="962">
                  <c:v>37.045800000001741</c:v>
                </c:pt>
                <c:pt idx="963">
                  <c:v>37.045900000001744</c:v>
                </c:pt>
                <c:pt idx="964">
                  <c:v>37.046000000001747</c:v>
                </c:pt>
                <c:pt idx="965">
                  <c:v>37.046100000001751</c:v>
                </c:pt>
                <c:pt idx="966">
                  <c:v>37.046200000001754</c:v>
                </c:pt>
                <c:pt idx="967">
                  <c:v>37.046300000001757</c:v>
                </c:pt>
                <c:pt idx="968">
                  <c:v>37.046400000001761</c:v>
                </c:pt>
                <c:pt idx="969">
                  <c:v>37.046500000001764</c:v>
                </c:pt>
                <c:pt idx="970">
                  <c:v>37.046600000001767</c:v>
                </c:pt>
                <c:pt idx="971">
                  <c:v>37.046700000001771</c:v>
                </c:pt>
                <c:pt idx="972">
                  <c:v>37.046800000001774</c:v>
                </c:pt>
                <c:pt idx="973">
                  <c:v>37.046900000001777</c:v>
                </c:pt>
                <c:pt idx="974">
                  <c:v>37.047000000001781</c:v>
                </c:pt>
                <c:pt idx="975">
                  <c:v>37.047100000001784</c:v>
                </c:pt>
                <c:pt idx="976">
                  <c:v>37.047200000001787</c:v>
                </c:pt>
                <c:pt idx="977">
                  <c:v>37.04730000000179</c:v>
                </c:pt>
                <c:pt idx="978">
                  <c:v>37.047400000001794</c:v>
                </c:pt>
                <c:pt idx="979">
                  <c:v>37.047500000001797</c:v>
                </c:pt>
                <c:pt idx="980">
                  <c:v>37.0476000000018</c:v>
                </c:pt>
                <c:pt idx="981">
                  <c:v>37.047700000001804</c:v>
                </c:pt>
                <c:pt idx="982">
                  <c:v>37.047800000001807</c:v>
                </c:pt>
                <c:pt idx="983">
                  <c:v>37.04790000000181</c:v>
                </c:pt>
                <c:pt idx="984">
                  <c:v>37.048000000001814</c:v>
                </c:pt>
                <c:pt idx="985">
                  <c:v>37.048100000001817</c:v>
                </c:pt>
                <c:pt idx="986">
                  <c:v>37.04820000000182</c:v>
                </c:pt>
                <c:pt idx="987">
                  <c:v>37.048300000001824</c:v>
                </c:pt>
                <c:pt idx="988">
                  <c:v>37.048400000001827</c:v>
                </c:pt>
                <c:pt idx="989">
                  <c:v>37.04850000000183</c:v>
                </c:pt>
                <c:pt idx="990">
                  <c:v>37.048600000001834</c:v>
                </c:pt>
                <c:pt idx="991">
                  <c:v>37.048700000001837</c:v>
                </c:pt>
                <c:pt idx="992">
                  <c:v>37.04880000000184</c:v>
                </c:pt>
                <c:pt idx="993">
                  <c:v>37.048900000001844</c:v>
                </c:pt>
                <c:pt idx="994">
                  <c:v>37.049000000001847</c:v>
                </c:pt>
                <c:pt idx="995">
                  <c:v>37.04910000000185</c:v>
                </c:pt>
                <c:pt idx="996">
                  <c:v>37.049200000001854</c:v>
                </c:pt>
                <c:pt idx="997">
                  <c:v>37.049300000001857</c:v>
                </c:pt>
                <c:pt idx="998">
                  <c:v>37.04940000000186</c:v>
                </c:pt>
                <c:pt idx="999">
                  <c:v>37.049500000001863</c:v>
                </c:pt>
                <c:pt idx="1000">
                  <c:v>37.049600000001867</c:v>
                </c:pt>
              </c:numCache>
            </c:numRef>
          </c:xVal>
          <c:yVal>
            <c:numRef>
              <c:f>Calculs!$K$4:$K$1004</c:f>
              <c:numCache>
                <c:formatCode>0.00</c:formatCode>
                <c:ptCount val="1001"/>
                <c:pt idx="0">
                  <c:v>564.96320263534824</c:v>
                </c:pt>
                <c:pt idx="1">
                  <c:v>566.44484886528869</c:v>
                </c:pt>
                <c:pt idx="2">
                  <c:v>567.92771493653174</c:v>
                </c:pt>
                <c:pt idx="3">
                  <c:v>569.41461199456819</c:v>
                </c:pt>
                <c:pt idx="4">
                  <c:v>570.90604743186861</c:v>
                </c:pt>
                <c:pt idx="5">
                  <c:v>572.40152971799057</c:v>
                </c:pt>
                <c:pt idx="6">
                  <c:v>573.90087173730456</c:v>
                </c:pt>
                <c:pt idx="7">
                  <c:v>575.40403851665667</c:v>
                </c:pt>
                <c:pt idx="8">
                  <c:v>576.9109951163216</c:v>
                </c:pt>
                <c:pt idx="9">
                  <c:v>578.42170663073136</c:v>
                </c:pt>
                <c:pt idx="10">
                  <c:v>579.9361381891955</c:v>
                </c:pt>
                <c:pt idx="11">
                  <c:v>581.4542549566138</c:v>
                </c:pt>
                <c:pt idx="12">
                  <c:v>582.97602213418043</c:v>
                </c:pt>
                <c:pt idx="13">
                  <c:v>584.50140496008021</c:v>
                </c:pt>
                <c:pt idx="14">
                  <c:v>586.03036871017662</c:v>
                </c:pt>
                <c:pt idx="15">
                  <c:v>587.56287869869209</c:v>
                </c:pt>
                <c:pt idx="16">
                  <c:v>589.0989002788798</c:v>
                </c:pt>
                <c:pt idx="17">
                  <c:v>590.63839884368747</c:v>
                </c:pt>
                <c:pt idx="18">
                  <c:v>592.18133982641348</c:v>
                </c:pt>
                <c:pt idx="19">
                  <c:v>593.72768870135428</c:v>
                </c:pt>
                <c:pt idx="20">
                  <c:v>595.27741098444415</c:v>
                </c:pt>
                <c:pt idx="21">
                  <c:v>596.83047223388678</c:v>
                </c:pt>
                <c:pt idx="22">
                  <c:v>598.38683805077858</c:v>
                </c:pt>
                <c:pt idx="23">
                  <c:v>599.94647407972434</c:v>
                </c:pt>
                <c:pt idx="24">
                  <c:v>601.50934600944447</c:v>
                </c:pt>
                <c:pt idx="25">
                  <c:v>603.07541957337435</c:v>
                </c:pt>
                <c:pt idx="26">
                  <c:v>604.64466055025582</c:v>
                </c:pt>
                <c:pt idx="27">
                  <c:v>606.2170347647201</c:v>
                </c:pt>
                <c:pt idx="28">
                  <c:v>607.79250808786344</c:v>
                </c:pt>
                <c:pt idx="29">
                  <c:v>609.37104643781413</c:v>
                </c:pt>
                <c:pt idx="30">
                  <c:v>610.95261578029204</c:v>
                </c:pt>
                <c:pt idx="31">
                  <c:v>612.53718212915965</c:v>
                </c:pt>
                <c:pt idx="32">
                  <c:v>614.12471154696573</c:v>
                </c:pt>
                <c:pt idx="33">
                  <c:v>615.71517014548078</c:v>
                </c:pt>
                <c:pt idx="34">
                  <c:v>617.30852408622422</c:v>
                </c:pt>
                <c:pt idx="35">
                  <c:v>618.90473958098448</c:v>
                </c:pt>
                <c:pt idx="36">
                  <c:v>620.50378289233038</c:v>
                </c:pt>
                <c:pt idx="37">
                  <c:v>622.10562033411543</c:v>
                </c:pt>
                <c:pt idx="38">
                  <c:v>623.71021827197364</c:v>
                </c:pt>
                <c:pt idx="39">
                  <c:v>625.31754312380792</c:v>
                </c:pt>
                <c:pt idx="40">
                  <c:v>626.92756136027037</c:v>
                </c:pt>
                <c:pt idx="41">
                  <c:v>628.54023950523526</c:v>
                </c:pt>
                <c:pt idx="42">
                  <c:v>630.15554413626387</c:v>
                </c:pt>
                <c:pt idx="43">
                  <c:v>631.77344188506152</c:v>
                </c:pt>
                <c:pt idx="44">
                  <c:v>633.39389943792764</c:v>
                </c:pt>
                <c:pt idx="45">
                  <c:v>635.01688353619716</c:v>
                </c:pt>
                <c:pt idx="46">
                  <c:v>636.64236097667515</c:v>
                </c:pt>
                <c:pt idx="47">
                  <c:v>638.27029861206336</c:v>
                </c:pt>
                <c:pt idx="48">
                  <c:v>639.90066335137919</c:v>
                </c:pt>
                <c:pt idx="49">
                  <c:v>641.53342216036731</c:v>
                </c:pt>
                <c:pt idx="50">
                  <c:v>643.16854206190374</c:v>
                </c:pt>
                <c:pt idx="51">
                  <c:v>644.80599013639221</c:v>
                </c:pt>
                <c:pt idx="52">
                  <c:v>646.44573352215343</c:v>
                </c:pt>
                <c:pt idx="53">
                  <c:v>648.08773941580648</c:v>
                </c:pt>
                <c:pt idx="54">
                  <c:v>649.73197507264342</c:v>
                </c:pt>
                <c:pt idx="55">
                  <c:v>651.37840780699582</c:v>
                </c:pt>
                <c:pt idx="56">
                  <c:v>653.02700499259447</c:v>
                </c:pt>
                <c:pt idx="57">
                  <c:v>654.67773406292167</c:v>
                </c:pt>
                <c:pt idx="58">
                  <c:v>656.3305625115562</c:v>
                </c:pt>
                <c:pt idx="59">
                  <c:v>657.98545789251125</c:v>
                </c:pt>
                <c:pt idx="60">
                  <c:v>659.64238782056475</c:v>
                </c:pt>
                <c:pt idx="61">
                  <c:v>661.3013199715831</c:v>
                </c:pt>
                <c:pt idx="62">
                  <c:v>662.96222208283734</c:v>
                </c:pt>
                <c:pt idx="63">
                  <c:v>664.62504874491469</c:v>
                </c:pt>
                <c:pt idx="64">
                  <c:v>666.28972821792343</c:v>
                </c:pt>
                <c:pt idx="65">
                  <c:v>667.95617569548449</c:v>
                </c:pt>
                <c:pt idx="66">
                  <c:v>669.62430654499008</c:v>
                </c:pt>
                <c:pt idx="67">
                  <c:v>671.29402420200768</c:v>
                </c:pt>
                <c:pt idx="68">
                  <c:v>672.96520808822606</c:v>
                </c:pt>
                <c:pt idx="69">
                  <c:v>674.63770424046902</c:v>
                </c:pt>
                <c:pt idx="70">
                  <c:v>676.31131596093201</c:v>
                </c:pt>
                <c:pt idx="71">
                  <c:v>677.98582545038425</c:v>
                </c:pt>
                <c:pt idx="72">
                  <c:v>679.66101539964291</c:v>
                </c:pt>
                <c:pt idx="73">
                  <c:v>681.33666899694174</c:v>
                </c:pt>
                <c:pt idx="74">
                  <c:v>683.01256993502193</c:v>
                </c:pt>
                <c:pt idx="75">
                  <c:v>684.68850241794735</c:v>
                </c:pt>
                <c:pt idx="76">
                  <c:v>686.36425116764508</c:v>
                </c:pt>
                <c:pt idx="77">
                  <c:v>688.03960143017378</c:v>
                </c:pt>
                <c:pt idx="78">
                  <c:v>689.71433898172063</c:v>
                </c:pt>
                <c:pt idx="79">
                  <c:v>691.38825013433075</c:v>
                </c:pt>
                <c:pt idx="80">
                  <c:v>693.06112174136899</c:v>
                </c:pt>
                <c:pt idx="81">
                  <c:v>694.73276680834635</c:v>
                </c:pt>
                <c:pt idx="82">
                  <c:v>696.40305003678645</c:v>
                </c:pt>
                <c:pt idx="83">
                  <c:v>698.07186208584096</c:v>
                </c:pt>
                <c:pt idx="84">
                  <c:v>699.73909389843845</c:v>
                </c:pt>
                <c:pt idx="85">
                  <c:v>701.40463670172903</c:v>
                </c:pt>
                <c:pt idx="86">
                  <c:v>703.06838200746472</c:v>
                </c:pt>
                <c:pt idx="87">
                  <c:v>704.73022161231654</c:v>
                </c:pt>
                <c:pt idx="88">
                  <c:v>706.39004759812883</c:v>
                </c:pt>
                <c:pt idx="89">
                  <c:v>708.04776042021308</c:v>
                </c:pt>
                <c:pt idx="90">
                  <c:v>709.70327697337189</c:v>
                </c:pt>
                <c:pt idx="91">
                  <c:v>711.35652245915821</c:v>
                </c:pt>
                <c:pt idx="92">
                  <c:v>713.00742227510307</c:v>
                </c:pt>
                <c:pt idx="93">
                  <c:v>714.65590403636043</c:v>
                </c:pt>
                <c:pt idx="94">
                  <c:v>716.30189959168274</c:v>
                </c:pt>
                <c:pt idx="95">
                  <c:v>717.94534298966255</c:v>
                </c:pt>
                <c:pt idx="96">
                  <c:v>719.58616845057782</c:v>
                </c:pt>
                <c:pt idx="97">
                  <c:v>721.22431845355447</c:v>
                </c:pt>
                <c:pt idx="98">
                  <c:v>722.85975180085029</c:v>
                </c:pt>
                <c:pt idx="99">
                  <c:v>724.49243548426352</c:v>
                </c:pt>
                <c:pt idx="100">
                  <c:v>726.12233657445654</c:v>
                </c:pt>
                <c:pt idx="101">
                  <c:v>727.74942222051504</c:v>
                </c:pt>
                <c:pt idx="102">
                  <c:v>729.37365964950334</c:v>
                </c:pt>
                <c:pt idx="103">
                  <c:v>730.9950161660181</c:v>
                </c:pt>
                <c:pt idx="104">
                  <c:v>732.61345915173808</c:v>
                </c:pt>
                <c:pt idx="105">
                  <c:v>734.22895606497195</c:v>
                </c:pt>
                <c:pt idx="106">
                  <c:v>735.84147444020277</c:v>
                </c:pt>
                <c:pt idx="107">
                  <c:v>737.45098188763006</c:v>
                </c:pt>
                <c:pt idx="108">
                  <c:v>739.05744609270926</c:v>
                </c:pt>
                <c:pt idx="109">
                  <c:v>740.66084492122889</c:v>
                </c:pt>
                <c:pt idx="110">
                  <c:v>742.26117649554033</c:v>
                </c:pt>
                <c:pt idx="111">
                  <c:v>743.85844903199632</c:v>
                </c:pt>
                <c:pt idx="112">
                  <c:v>745.45267070759257</c:v>
                </c:pt>
                <c:pt idx="113">
                  <c:v>747.04384966021689</c:v>
                </c:pt>
                <c:pt idx="114">
                  <c:v>748.63199398889572</c:v>
                </c:pt>
                <c:pt idx="115">
                  <c:v>750.21711175403891</c:v>
                </c:pt>
                <c:pt idx="116">
                  <c:v>751.79921097768272</c:v>
                </c:pt>
                <c:pt idx="117">
                  <c:v>753.37829964373077</c:v>
                </c:pt>
                <c:pt idx="118">
                  <c:v>754.95438569819305</c:v>
                </c:pt>
                <c:pt idx="119">
                  <c:v>756.52747704942306</c:v>
                </c:pt>
                <c:pt idx="120">
                  <c:v>758.09758156835301</c:v>
                </c:pt>
                <c:pt idx="121">
                  <c:v>759.66470708872748</c:v>
                </c:pt>
                <c:pt idx="122">
                  <c:v>761.22886140733488</c:v>
                </c:pt>
                <c:pt idx="123">
                  <c:v>762.79005228423716</c:v>
                </c:pt>
                <c:pt idx="124">
                  <c:v>764.34828744299796</c:v>
                </c:pt>
                <c:pt idx="125">
                  <c:v>765.90357457090863</c:v>
                </c:pt>
                <c:pt idx="126">
                  <c:v>767.45592131921273</c:v>
                </c:pt>
                <c:pt idx="127">
                  <c:v>769.00533530332882</c:v>
                </c:pt>
                <c:pt idx="128">
                  <c:v>770.55182410307111</c:v>
                </c:pt>
                <c:pt idx="129">
                  <c:v>772.09539526286903</c:v>
                </c:pt>
                <c:pt idx="130">
                  <c:v>773.63605629198457</c:v>
                </c:pt>
                <c:pt idx="131">
                  <c:v>775.17381466472807</c:v>
                </c:pt>
                <c:pt idx="132">
                  <c:v>776.70867782067251</c:v>
                </c:pt>
                <c:pt idx="133">
                  <c:v>778.24065316486599</c:v>
                </c:pt>
                <c:pt idx="134">
                  <c:v>779.76974806804253</c:v>
                </c:pt>
                <c:pt idx="135">
                  <c:v>781.29596986683134</c:v>
                </c:pt>
                <c:pt idx="136">
                  <c:v>782.81932586396454</c:v>
                </c:pt>
                <c:pt idx="137">
                  <c:v>784.33982332848325</c:v>
                </c:pt>
                <c:pt idx="138">
                  <c:v>785.85746949594181</c:v>
                </c:pt>
                <c:pt idx="139">
                  <c:v>787.37227156861093</c:v>
                </c:pt>
                <c:pt idx="140">
                  <c:v>788.88423671567887</c:v>
                </c:pt>
                <c:pt idx="141">
                  <c:v>790.39337207345125</c:v>
                </c:pt>
                <c:pt idx="142">
                  <c:v>791.89968474554962</c:v>
                </c:pt>
                <c:pt idx="143">
                  <c:v>793.40318180310794</c:v>
                </c:pt>
                <c:pt idx="144">
                  <c:v>794.90387028496798</c:v>
                </c:pt>
                <c:pt idx="145">
                  <c:v>796.40175719787305</c:v>
                </c:pt>
                <c:pt idx="146">
                  <c:v>797.8968495166605</c:v>
                </c:pt>
                <c:pt idx="147">
                  <c:v>799.38915418445231</c:v>
                </c:pt>
                <c:pt idx="148">
                  <c:v>800.87867811284502</c:v>
                </c:pt>
                <c:pt idx="149">
                  <c:v>802.36542818209716</c:v>
                </c:pt>
                <c:pt idx="150">
                  <c:v>803.84941124131637</c:v>
                </c:pt>
                <c:pt idx="151">
                  <c:v>805.33063410864429</c:v>
                </c:pt>
                <c:pt idx="152">
                  <c:v>806.80910357144035</c:v>
                </c:pt>
                <c:pt idx="153">
                  <c:v>808.28482638646449</c:v>
                </c:pt>
                <c:pt idx="154">
                  <c:v>809.75780928005793</c:v>
                </c:pt>
                <c:pt idx="155">
                  <c:v>811.22805894832311</c:v>
                </c:pt>
                <c:pt idx="156">
                  <c:v>812.69558205730175</c:v>
                </c:pt>
                <c:pt idx="157">
                  <c:v>814.16038524315229</c:v>
                </c:pt>
                <c:pt idx="158">
                  <c:v>815.62247511232533</c:v>
                </c:pt>
                <c:pt idx="159">
                  <c:v>817.08185824173813</c:v>
                </c:pt>
                <c:pt idx="160">
                  <c:v>818.53854117894775</c:v>
                </c:pt>
                <c:pt idx="161">
                  <c:v>819.99253044232307</c:v>
                </c:pt>
                <c:pt idx="162">
                  <c:v>821.44383252121509</c:v>
                </c:pt>
                <c:pt idx="163">
                  <c:v>822.89245387612641</c:v>
                </c:pt>
                <c:pt idx="164">
                  <c:v>824.33840093887932</c:v>
                </c:pt>
                <c:pt idx="165">
                  <c:v>825.7816801127824</c:v>
                </c:pt>
                <c:pt idx="166">
                  <c:v>827.22229777279654</c:v>
                </c:pt>
                <c:pt idx="167">
                  <c:v>828.66026026569898</c:v>
                </c:pt>
                <c:pt idx="168">
                  <c:v>830.09557391024669</c:v>
                </c:pt>
                <c:pt idx="169">
                  <c:v>831.52824499733833</c:v>
                </c:pt>
                <c:pt idx="170">
                  <c:v>832.95827979017497</c:v>
                </c:pt>
                <c:pt idx="171">
                  <c:v>834.38568452441996</c:v>
                </c:pt>
                <c:pt idx="172">
                  <c:v>835.81046540835712</c:v>
                </c:pt>
                <c:pt idx="173">
                  <c:v>837.2326286230483</c:v>
                </c:pt>
                <c:pt idx="174">
                  <c:v>838.65218032248947</c:v>
                </c:pt>
                <c:pt idx="175">
                  <c:v>840.06912663376568</c:v>
                </c:pt>
                <c:pt idx="176">
                  <c:v>841.4834736572052</c:v>
                </c:pt>
                <c:pt idx="177">
                  <c:v>842.89522746653222</c:v>
                </c:pt>
                <c:pt idx="178">
                  <c:v>844.30439410901852</c:v>
                </c:pt>
                <c:pt idx="179">
                  <c:v>845.71097960563418</c:v>
                </c:pt>
                <c:pt idx="180">
                  <c:v>847.11498995119712</c:v>
                </c:pt>
                <c:pt idx="181">
                  <c:v>848.51643111452142</c:v>
                </c:pt>
                <c:pt idx="182">
                  <c:v>849.91530903856483</c:v>
                </c:pt>
                <c:pt idx="183">
                  <c:v>851.31162964057523</c:v>
                </c:pt>
                <c:pt idx="184">
                  <c:v>852.70539881223567</c:v>
                </c:pt>
                <c:pt idx="185">
                  <c:v>854.0966224198088</c:v>
                </c:pt>
                <c:pt idx="186">
                  <c:v>855.48530630428002</c:v>
                </c:pt>
                <c:pt idx="187">
                  <c:v>856.87145628149972</c:v>
                </c:pt>
                <c:pt idx="188">
                  <c:v>858.25507814232458</c:v>
                </c:pt>
                <c:pt idx="189">
                  <c:v>859.6361776527574</c:v>
                </c:pt>
                <c:pt idx="190">
                  <c:v>861.01476055408671</c:v>
                </c:pt>
                <c:pt idx="191">
                  <c:v>862.3908325630249</c:v>
                </c:pt>
                <c:pt idx="192">
                  <c:v>863.76439937184512</c:v>
                </c:pt>
                <c:pt idx="193">
                  <c:v>865.13546664851788</c:v>
                </c:pt>
                <c:pt idx="194">
                  <c:v>866.50404003684639</c:v>
                </c:pt>
                <c:pt idx="195">
                  <c:v>867.87012515660069</c:v>
                </c:pt>
                <c:pt idx="196">
                  <c:v>869.23372760365112</c:v>
                </c:pt>
                <c:pt idx="197">
                  <c:v>870.59485295010074</c:v>
                </c:pt>
                <c:pt idx="198">
                  <c:v>871.95350674441704</c:v>
                </c:pt>
                <c:pt idx="199">
                  <c:v>873.3096945115625</c:v>
                </c:pt>
                <c:pt idx="200">
                  <c:v>874.66342175312411</c:v>
                </c:pt>
                <c:pt idx="201">
                  <c:v>888.06578957221632</c:v>
                </c:pt>
                <c:pt idx="202">
                  <c:v>901.22562264827002</c:v>
                </c:pt>
                <c:pt idx="203">
                  <c:v>914.14820253971732</c:v>
                </c:pt>
                <c:pt idx="204">
                  <c:v>926.83859330704433</c:v>
                </c:pt>
                <c:pt idx="205">
                  <c:v>939.30165303504896</c:v>
                </c:pt>
                <c:pt idx="206">
                  <c:v>951.5420445892496</c:v>
                </c:pt>
                <c:pt idx="207">
                  <c:v>963.56424566687963</c:v>
                </c:pt>
                <c:pt idx="208">
                  <c:v>975.3725581973863</c:v>
                </c:pt>
                <c:pt idx="209">
                  <c:v>986.97111714240918</c:v>
                </c:pt>
                <c:pt idx="210">
                  <c:v>998.36389874077031</c:v>
                </c:pt>
                <c:pt idx="211">
                  <c:v>1009.5547282400138</c:v>
                </c:pt>
                <c:pt idx="212">
                  <c:v>1020.5472871524341</c:v>
                </c:pt>
                <c:pt idx="213">
                  <c:v>1031.3451200702882</c:v>
                </c:pt>
                <c:pt idx="214">
                  <c:v>1041.9516410719539</c:v>
                </c:pt>
                <c:pt idx="215">
                  <c:v>1052.3701397481464</c:v>
                </c:pt>
                <c:pt idx="216">
                  <c:v>1062.6037868749074</c:v>
                </c:pt>
                <c:pt idx="217">
                  <c:v>1072.6556397579018</c:v>
                </c:pt>
                <c:pt idx="218">
                  <c:v>1082.5286472705814</c:v>
                </c:pt>
                <c:pt idx="219">
                  <c:v>1092.2256546069846</c:v>
                </c:pt>
                <c:pt idx="220">
                  <c:v>1101.7494077683041</c:v>
                </c:pt>
                <c:pt idx="221">
                  <c:v>1111.1025578008655</c:v>
                </c:pt>
                <c:pt idx="222">
                  <c:v>1120.2876648018087</c:v>
                </c:pt>
                <c:pt idx="223">
                  <c:v>1129.3072017075206</c:v>
                </c:pt>
                <c:pt idx="224">
                  <c:v>1138.1635578787375</c:v>
                </c:pt>
                <c:pt idx="225">
                  <c:v>1146.8590424952042</c:v>
                </c:pt>
                <c:pt idx="226">
                  <c:v>1155.3958877718219</c:v>
                </c:pt>
                <c:pt idx="227">
                  <c:v>1163.7762520073568</c:v>
                </c:pt>
                <c:pt idx="228">
                  <c:v>1172.002222475978</c:v>
                </c:pt>
                <c:pt idx="229">
                  <c:v>1180.0758181711653</c:v>
                </c:pt>
                <c:pt idx="230">
                  <c:v>1187.9989924108554</c:v>
                </c:pt>
                <c:pt idx="231">
                  <c:v>1195.7736353120736</c:v>
                </c:pt>
                <c:pt idx="232">
                  <c:v>1203.4015761427327</c:v>
                </c:pt>
                <c:pt idx="233">
                  <c:v>1210.8845855577549</c:v>
                </c:pt>
                <c:pt idx="234">
                  <c:v>1218.2243777261872</c:v>
                </c:pt>
                <c:pt idx="235">
                  <c:v>1225.4226123555386</c:v>
                </c:pt>
                <c:pt idx="236">
                  <c:v>1232.480896619152</c:v>
                </c:pt>
                <c:pt idx="237">
                  <c:v>1239.4007869920449</c:v>
                </c:pt>
                <c:pt idx="238">
                  <c:v>1246.1837910003026</c:v>
                </c:pt>
                <c:pt idx="239">
                  <c:v>1252.8313688887761</c:v>
                </c:pt>
                <c:pt idx="240">
                  <c:v>1259.3449352115465</c:v>
                </c:pt>
                <c:pt idx="241">
                  <c:v>1265.725860349326</c:v>
                </c:pt>
                <c:pt idx="242">
                  <c:v>1271.975471957719</c:v>
                </c:pt>
                <c:pt idx="243">
                  <c:v>1278.0950563500185</c:v>
                </c:pt>
                <c:pt idx="244">
                  <c:v>1284.0858598179964</c:v>
                </c:pt>
                <c:pt idx="245">
                  <c:v>1289.9490898939396</c:v>
                </c:pt>
                <c:pt idx="246">
                  <c:v>1295.6859165569906</c:v>
                </c:pt>
                <c:pt idx="247">
                  <c:v>1301.2974733866793</c:v>
                </c:pt>
                <c:pt idx="248">
                  <c:v>1306.7848586663629</c:v>
                </c:pt>
                <c:pt idx="249">
                  <c:v>1312.1491364391479</c:v>
                </c:pt>
                <c:pt idx="250">
                  <c:v>1317.3913375187169</c:v>
                </c:pt>
                <c:pt idx="251">
                  <c:v>1322.5124604573639</c:v>
                </c:pt>
                <c:pt idx="252">
                  <c:v>1327.5134724734155</c:v>
                </c:pt>
                <c:pt idx="253">
                  <c:v>1332.3953103401086</c:v>
                </c:pt>
                <c:pt idx="254">
                  <c:v>1337.1588812378918</c:v>
                </c:pt>
                <c:pt idx="255">
                  <c:v>1341.8050635720283</c:v>
                </c:pt>
                <c:pt idx="256">
                  <c:v>1346.3347077572901</c:v>
                </c:pt>
                <c:pt idx="257">
                  <c:v>1350.7486369714613</c:v>
                </c:pt>
                <c:pt idx="258">
                  <c:v>1355.0476478792959</c:v>
                </c:pt>
                <c:pt idx="259">
                  <c:v>1359.2325113285156</c:v>
                </c:pt>
                <c:pt idx="260">
                  <c:v>1363.3039730193821</c:v>
                </c:pt>
                <c:pt idx="261">
                  <c:v>1367.2627541493291</c:v>
                </c:pt>
                <c:pt idx="262">
                  <c:v>1371.1095520341005</c:v>
                </c:pt>
                <c:pt idx="263">
                  <c:v>1374.8450407068117</c:v>
                </c:pt>
                <c:pt idx="264">
                  <c:v>1378.4698714963265</c:v>
                </c:pt>
                <c:pt idx="265">
                  <c:v>1381.984673586325</c:v>
                </c:pt>
                <c:pt idx="266">
                  <c:v>1385.3900545564311</c:v>
                </c:pt>
                <c:pt idx="267">
                  <c:v>1388.6866009067658</c:v>
                </c:pt>
                <c:pt idx="268">
                  <c:v>1391.8748785673038</c:v>
                </c:pt>
                <c:pt idx="269">
                  <c:v>1394.9554333934257</c:v>
                </c:pt>
                <c:pt idx="270">
                  <c:v>1397.9287916490841</c:v>
                </c:pt>
                <c:pt idx="271">
                  <c:v>1400.7954604790398</c:v>
                </c:pt>
                <c:pt idx="272">
                  <c:v>1403.5559283716632</c:v>
                </c:pt>
                <c:pt idx="273">
                  <c:v>1406.2106656138585</c:v>
                </c:pt>
                <c:pt idx="274">
                  <c:v>1408.7601247397251</c:v>
                </c:pt>
                <c:pt idx="275">
                  <c:v>1411.2047409746451</c:v>
                </c:pt>
                <c:pt idx="276">
                  <c:v>1413.544932676572</c:v>
                </c:pt>
                <c:pt idx="277">
                  <c:v>1415.7811017763797</c:v>
                </c:pt>
                <c:pt idx="278">
                  <c:v>1417.9136342192296</c:v>
                </c:pt>
                <c:pt idx="279">
                  <c:v>1419.9429004090121</c:v>
                </c:pt>
                <c:pt idx="280">
                  <c:v>1421.8692556580218</c:v>
                </c:pt>
                <c:pt idx="281">
                  <c:v>1423.6930406441211</c:v>
                </c:pt>
                <c:pt idx="282">
                  <c:v>1425.4145818777354</c:v>
                </c:pt>
                <c:pt idx="283">
                  <c:v>1427.0341921811016</c:v>
                </c:pt>
                <c:pt idx="284">
                  <c:v>1428.5521711822394</c:v>
                </c:pt>
                <c:pt idx="285">
                  <c:v>1429.968805826134</c:v>
                </c:pt>
                <c:pt idx="286">
                  <c:v>1431.2843709055983</c:v>
                </c:pt>
                <c:pt idx="287">
                  <c:v>1432.4991296141952</c:v>
                </c:pt>
                <c:pt idx="288">
                  <c:v>1433.6133341234608</c:v>
                </c:pt>
                <c:pt idx="289">
                  <c:v>1434.6272261864308</c:v>
                </c:pt>
                <c:pt idx="290">
                  <c:v>1435.5410377691571</c:v>
                </c:pt>
                <c:pt idx="291">
                  <c:v>1436.3549917114701</c:v>
                </c:pt>
                <c:pt idx="292">
                  <c:v>1437.0693024177131</c:v>
                </c:pt>
                <c:pt idx="293">
                  <c:v>1437.6841765775339</c:v>
                </c:pt>
                <c:pt idx="294">
                  <c:v>1438.1998139160792</c:v>
                </c:pt>
                <c:pt idx="295">
                  <c:v>1438.6164079721127</c:v>
                </c:pt>
                <c:pt idx="296">
                  <c:v>1438.9341469016997</c:v>
                </c:pt>
                <c:pt idx="297">
                  <c:v>1439.153214304195</c:v>
                </c:pt>
                <c:pt idx="298">
                  <c:v>1439.2737900663878</c:v>
                </c:pt>
                <c:pt idx="299">
                  <c:v>1439.2960512198395</c:v>
                </c:pt>
                <c:pt idx="300">
                  <c:v>1439.220172805746</c:v>
                </c:pt>
                <c:pt idx="301">
                  <c:v>1439.0463287411173</c:v>
                </c:pt>
                <c:pt idx="302">
                  <c:v>1438.7746926797149</c:v>
                </c:pt>
                <c:pt idx="303">
                  <c:v>1438.405438861068</c:v>
                </c:pt>
                <c:pt idx="304">
                  <c:v>1437.9387429409912</c:v>
                </c:pt>
                <c:pt idx="305">
                  <c:v>1437.3747827973571</c:v>
                </c:pt>
                <c:pt idx="306">
                  <c:v>1436.7137393054052</c:v>
                </c:pt>
                <c:pt idx="307">
                  <c:v>1435.9557970775634</c:v>
                </c:pt>
                <c:pt idx="308">
                  <c:v>1435.1011451635734</c:v>
                </c:pt>
                <c:pt idx="309">
                  <c:v>1434.1499777075967</c:v>
                </c:pt>
                <c:pt idx="310">
                  <c:v>1433.1024945598904</c:v>
                </c:pt>
                <c:pt idx="311">
                  <c:v>1431.9589018415259</c:v>
                </c:pt>
                <c:pt idx="312">
                  <c:v>1430.7194124614621</c:v>
                </c:pt>
                <c:pt idx="313">
                  <c:v>1429.3842465860262</c:v>
                </c:pt>
                <c:pt idx="314">
                  <c:v>1427.9536320615039</c:v>
                </c:pt>
                <c:pt idx="315">
                  <c:v>1426.4278047910741</c:v>
                </c:pt>
                <c:pt idx="316">
                  <c:v>1424.8070090677443</c:v>
                </c:pt>
                <c:pt idx="317">
                  <c:v>1423.0914978652615</c:v>
                </c:pt>
                <c:pt idx="318">
                  <c:v>1421.2815330891883</c:v>
                </c:pt>
                <c:pt idx="319">
                  <c:v>1419.3773857904673</c:v>
                </c:pt>
                <c:pt idx="320">
                  <c:v>1417.3793363438613</c:v>
                </c:pt>
                <c:pt idx="321">
                  <c:v>1415.2876745936546</c:v>
                </c:pt>
                <c:pt idx="322">
                  <c:v>1413.1026999689614</c:v>
                </c:pt>
                <c:pt idx="323">
                  <c:v>1410.8247215709057</c:v>
                </c:pt>
                <c:pt idx="324">
                  <c:v>1408.45405823384</c:v>
                </c:pt>
                <c:pt idx="325">
                  <c:v>1405.9910385626465</c:v>
                </c:pt>
                <c:pt idx="326">
                  <c:v>1403.436000948042</c:v>
                </c:pt>
                <c:pt idx="327">
                  <c:v>1400.789293561673</c:v>
                </c:pt>
                <c:pt idx="328">
                  <c:v>1398.0512743326606</c:v>
                </c:pt>
                <c:pt idx="329">
                  <c:v>1395.222310907121</c:v>
                </c:pt>
                <c:pt idx="330">
                  <c:v>1392.3027805920738</c:v>
                </c:pt>
                <c:pt idx="331">
                  <c:v>1389.2930702850265</c:v>
                </c:pt>
                <c:pt idx="332">
                  <c:v>1386.1935763904235</c:v>
                </c:pt>
                <c:pt idx="333">
                  <c:v>1383.0047047240421</c:v>
                </c:pt>
                <c:pt idx="334">
                  <c:v>1379.7268704063308</c:v>
                </c:pt>
                <c:pt idx="335">
                  <c:v>1376.3604977455996</c:v>
                </c:pt>
                <c:pt idx="336">
                  <c:v>1372.9060201118973</c:v>
                </c:pt>
                <c:pt idx="337">
                  <c:v>1369.3638798023426</c:v>
                </c:pt>
                <c:pt idx="338">
                  <c:v>1365.7345278986102</c:v>
                </c:pt>
                <c:pt idx="339">
                  <c:v>1362.0184241172233</c:v>
                </c:pt>
                <c:pt idx="340">
                  <c:v>1358.2160366532491</c:v>
                </c:pt>
                <c:pt idx="341">
                  <c:v>1354.3278420179506</c:v>
                </c:pt>
                <c:pt idx="342">
                  <c:v>1350.3543248709061</c:v>
                </c:pt>
                <c:pt idx="343">
                  <c:v>1346.2959778470768</c:v>
                </c:pt>
                <c:pt idx="344">
                  <c:v>1342.1533013792621</c:v>
                </c:pt>
                <c:pt idx="345">
                  <c:v>1337.9268035163607</c:v>
                </c:pt>
                <c:pt idx="346">
                  <c:v>1333.6169997378242</c:v>
                </c:pt>
                <c:pt idx="347">
                  <c:v>1329.2244127646698</c:v>
                </c:pt>
                <c:pt idx="348">
                  <c:v>1324.7495723673933</c:v>
                </c:pt>
                <c:pt idx="349">
                  <c:v>1320.1930151711113</c:v>
                </c:pt>
                <c:pt idx="350">
                  <c:v>1315.5552844582342</c:v>
                </c:pt>
                <c:pt idx="351">
                  <c:v>1310.836929968965</c:v>
                </c:pt>
                <c:pt idx="352">
                  <c:v>1306.0385076998984</c:v>
                </c:pt>
                <c:pt idx="353">
                  <c:v>1301.1605797009843</c:v>
                </c:pt>
                <c:pt idx="354">
                  <c:v>1296.2037138711066</c:v>
                </c:pt>
                <c:pt idx="355">
                  <c:v>1291.1684837525172</c:v>
                </c:pt>
                <c:pt idx="356">
                  <c:v>1286.0554683243527</c:v>
                </c:pt>
                <c:pt idx="357">
                  <c:v>1280.8652517954565</c:v>
                </c:pt>
                <c:pt idx="358">
                  <c:v>1275.5984233967142</c:v>
                </c:pt>
                <c:pt idx="359">
                  <c:v>1270.2555771731047</c:v>
                </c:pt>
                <c:pt idx="360">
                  <c:v>1264.8373117756607</c:v>
                </c:pt>
                <c:pt idx="361">
                  <c:v>1259.3442302535261</c:v>
                </c:pt>
                <c:pt idx="362">
                  <c:v>1253.7769398462867</c:v>
                </c:pt>
                <c:pt idx="363">
                  <c:v>1248.1360517767473</c:v>
                </c:pt>
                <c:pt idx="364">
                  <c:v>1242.422181044321</c:v>
                </c:pt>
                <c:pt idx="365">
                  <c:v>1236.6359462191879</c:v>
                </c:pt>
                <c:pt idx="366">
                  <c:v>1230.7779692373767</c:v>
                </c:pt>
                <c:pt idx="367">
                  <c:v>1224.8488751969155</c:v>
                </c:pt>
                <c:pt idx="368">
                  <c:v>1218.8492921551917</c:v>
                </c:pt>
                <c:pt idx="369">
                  <c:v>1212.7798509276574</c:v>
                </c:pt>
                <c:pt idx="370">
                  <c:v>1206.641184888008</c:v>
                </c:pt>
                <c:pt idx="371">
                  <c:v>1200.4339297699594</c:v>
                </c:pt>
                <c:pt idx="372">
                  <c:v>1194.1587234707411</c:v>
                </c:pt>
                <c:pt idx="373">
                  <c:v>1187.8162058564199</c:v>
                </c:pt>
                <c:pt idx="374">
                  <c:v>1181.4070185691617</c:v>
                </c:pt>
                <c:pt idx="375">
                  <c:v>1174.9318048365344</c:v>
                </c:pt>
                <c:pt idx="376">
                  <c:v>1168.3912092829521</c:v>
                </c:pt>
                <c:pt idx="377">
                  <c:v>1161.7858777433516</c:v>
                </c:pt>
                <c:pt idx="378">
                  <c:v>1155.1164570791914</c:v>
                </c:pt>
                <c:pt idx="379">
                  <c:v>1148.3835949968575</c:v>
                </c:pt>
                <c:pt idx="380">
                  <c:v>1141.5879398685552</c:v>
                </c:pt>
                <c:pt idx="381">
                  <c:v>1134.7301405557605</c:v>
                </c:pt>
                <c:pt idx="382">
                  <c:v>1127.8108462353041</c:v>
                </c:pt>
                <c:pt idx="383">
                  <c:v>1120.830706228151</c:v>
                </c:pt>
                <c:pt idx="384">
                  <c:v>1113.790369830941</c:v>
                </c:pt>
                <c:pt idx="385">
                  <c:v>1106.6904861503438</c:v>
                </c:pt>
                <c:pt idx="386">
                  <c:v>1099.5317039402853</c:v>
                </c:pt>
                <c:pt idx="387">
                  <c:v>1092.314671442092</c:v>
                </c:pt>
                <c:pt idx="388">
                  <c:v>1085.0400362276005</c:v>
                </c:pt>
                <c:pt idx="389">
                  <c:v>1077.7084450452714</c:v>
                </c:pt>
                <c:pt idx="390">
                  <c:v>1070.3205436693479</c:v>
                </c:pt>
                <c:pt idx="391">
                  <c:v>1062.8769767520889</c:v>
                </c:pt>
                <c:pt idx="392">
                  <c:v>1055.3783876791113</c:v>
                </c:pt>
                <c:pt idx="393">
                  <c:v>1047.8254184278633</c:v>
                </c:pt>
                <c:pt idx="394">
                  <c:v>1040.2187094292551</c:v>
                </c:pt>
                <c:pt idx="395">
                  <c:v>1032.5588994324639</c:v>
                </c:pt>
                <c:pt idx="396">
                  <c:v>1024.8466253729314</c:v>
                </c:pt>
                <c:pt idx="397">
                  <c:v>1017.0825222435648</c:v>
                </c:pt>
                <c:pt idx="398">
                  <c:v>1009.2672229691525</c:v>
                </c:pt>
                <c:pt idx="399">
                  <c:v>1001.4013582840001</c:v>
                </c:pt>
                <c:pt idx="400">
                  <c:v>993.48555661279079</c:v>
                </c:pt>
                <c:pt idx="401">
                  <c:v>985.52044395467033</c:v>
                </c:pt>
                <c:pt idx="402">
                  <c:v>977.5066437705558</c:v>
                </c:pt>
                <c:pt idx="403">
                  <c:v>969.44477687366145</c:v>
                </c:pt>
                <c:pt idx="404">
                  <c:v>961.33546132323602</c:v>
                </c:pt>
                <c:pt idx="405">
                  <c:v>953.17931232150011</c:v>
                </c:pt>
                <c:pt idx="406">
                  <c:v>944.97694211377279</c:v>
                </c:pt>
                <c:pt idx="407">
                  <c:v>936.72895989177096</c:v>
                </c:pt>
                <c:pt idx="408">
                  <c:v>928.43597170006603</c:v>
                </c:pt>
                <c:pt idx="409">
                  <c:v>920.0985803456781</c:v>
                </c:pt>
                <c:pt idx="410">
                  <c:v>911.7173853107862</c:v>
                </c:pt>
                <c:pt idx="411">
                  <c:v>903.29298266853209</c:v>
                </c:pt>
                <c:pt idx="412">
                  <c:v>894.82596500189209</c:v>
                </c:pt>
                <c:pt idx="413">
                  <c:v>886.31692132558999</c:v>
                </c:pt>
                <c:pt idx="414">
                  <c:v>877.76643701102307</c:v>
                </c:pt>
                <c:pt idx="415">
                  <c:v>869.17509371417032</c:v>
                </c:pt>
                <c:pt idx="416">
                  <c:v>860.54346930645147</c:v>
                </c:pt>
                <c:pt idx="417">
                  <c:v>851.87213780850357</c:v>
                </c:pt>
                <c:pt idx="418">
                  <c:v>843.16166932684075</c:v>
                </c:pt>
                <c:pt idx="419">
                  <c:v>834.41262999336107</c:v>
                </c:pt>
                <c:pt idx="420">
                  <c:v>825.62558190766333</c:v>
                </c:pt>
                <c:pt idx="421">
                  <c:v>816.80108308213573</c:v>
                </c:pt>
                <c:pt idx="422">
                  <c:v>807.93968738977742</c:v>
                </c:pt>
                <c:pt idx="423">
                  <c:v>799.04194451471199</c:v>
                </c:pt>
                <c:pt idx="424">
                  <c:v>790.10839990535294</c:v>
                </c:pt>
                <c:pt idx="425">
                  <c:v>781.13959473017769</c:v>
                </c:pt>
                <c:pt idx="426">
                  <c:v>772.1360658360685</c:v>
                </c:pt>
                <c:pt idx="427">
                  <c:v>763.09834570917667</c:v>
                </c:pt>
                <c:pt idx="428">
                  <c:v>754.02696243826563</c:v>
                </c:pt>
                <c:pt idx="429">
                  <c:v>744.92243968048888</c:v>
                </c:pt>
                <c:pt idx="430">
                  <c:v>735.78529662955714</c:v>
                </c:pt>
                <c:pt idx="431">
                  <c:v>726.61604798624921</c:v>
                </c:pt>
                <c:pt idx="432">
                  <c:v>717.41520393122141</c:v>
                </c:pt>
                <c:pt idx="433">
                  <c:v>708.18327010006863</c:v>
                </c:pt>
                <c:pt idx="434">
                  <c:v>698.9207475605906</c:v>
                </c:pt>
                <c:pt idx="435">
                  <c:v>689.628132792217</c:v>
                </c:pt>
                <c:pt idx="436">
                  <c:v>680.30591766754446</c:v>
                </c:pt>
                <c:pt idx="437">
                  <c:v>670.95458943593871</c:v>
                </c:pt>
                <c:pt idx="438">
                  <c:v>661.57463070915435</c:v>
                </c:pt>
                <c:pt idx="439">
                  <c:v>652.16651944892635</c:v>
                </c:pt>
                <c:pt idx="440">
                  <c:v>642.73072895648477</c:v>
                </c:pt>
                <c:pt idx="441">
                  <c:v>633.26772786394758</c:v>
                </c:pt>
                <c:pt idx="442">
                  <c:v>623.77798012754374</c:v>
                </c:pt>
                <c:pt idx="443">
                  <c:v>614.26194502262013</c:v>
                </c:pt>
                <c:pt idx="444">
                  <c:v>604.72007714038614</c:v>
                </c:pt>
                <c:pt idx="445">
                  <c:v>595.15282638635051</c:v>
                </c:pt>
                <c:pt idx="446">
                  <c:v>585.5606379804027</c:v>
                </c:pt>
                <c:pt idx="447">
                  <c:v>575.94395245849546</c:v>
                </c:pt>
                <c:pt idx="448">
                  <c:v>566.30320567588183</c:v>
                </c:pt>
                <c:pt idx="449">
                  <c:v>556.63882881186225</c:v>
                </c:pt>
                <c:pt idx="450">
                  <c:v>546.95124837599792</c:v>
                </c:pt>
                <c:pt idx="451">
                  <c:v>537.24088621574526</c:v>
                </c:pt>
                <c:pt idx="452">
                  <c:v>527.50815952546861</c:v>
                </c:pt>
                <c:pt idx="453">
                  <c:v>517.75348085678797</c:v>
                </c:pt>
                <c:pt idx="454">
                  <c:v>507.97725813021935</c:v>
                </c:pt>
                <c:pt idx="455">
                  <c:v>498.17989464806493</c:v>
                </c:pt>
                <c:pt idx="456">
                  <c:v>488.3617891085122</c:v>
                </c:pt>
                <c:pt idx="457">
                  <c:v>478.52333562090058</c:v>
                </c:pt>
                <c:pt idx="458">
                  <c:v>468.66492372211525</c:v>
                </c:pt>
                <c:pt idx="459">
                  <c:v>458.78693839406816</c:v>
                </c:pt>
                <c:pt idx="460">
                  <c:v>448.88976008222699</c:v>
                </c:pt>
                <c:pt idx="461">
                  <c:v>438.97376471515321</c:v>
                </c:pt>
                <c:pt idx="462">
                  <c:v>429.03932372501146</c:v>
                </c:pt>
                <c:pt idx="463">
                  <c:v>419.08680406901209</c:v>
                </c:pt>
                <c:pt idx="464">
                  <c:v>409.11656825175083</c:v>
                </c:pt>
                <c:pt idx="465">
                  <c:v>399.12897434840892</c:v>
                </c:pt>
                <c:pt idx="466">
                  <c:v>389.12437602877787</c:v>
                </c:pt>
                <c:pt idx="467">
                  <c:v>379.10312258207466</c:v>
                </c:pt>
                <c:pt idx="468">
                  <c:v>369.06555894251233</c:v>
                </c:pt>
                <c:pt idx="469">
                  <c:v>359.01202571559298</c:v>
                </c:pt>
                <c:pt idx="470">
                  <c:v>348.9428592050898</c:v>
                </c:pt>
                <c:pt idx="471">
                  <c:v>338.85839144068603</c:v>
                </c:pt>
                <c:pt idx="472">
                  <c:v>328.75895020623932</c:v>
                </c:pt>
                <c:pt idx="473">
                  <c:v>318.64485906864041</c:v>
                </c:pt>
                <c:pt idx="474">
                  <c:v>308.51643740723568</c:v>
                </c:pt>
                <c:pt idx="475">
                  <c:v>298.3740004437845</c:v>
                </c:pt>
                <c:pt idx="476">
                  <c:v>288.21785927292183</c:v>
                </c:pt>
                <c:pt idx="477">
                  <c:v>278.04832089309809</c:v>
                </c:pt>
                <c:pt idx="478">
                  <c:v>267.86568823796875</c:v>
                </c:pt>
                <c:pt idx="479">
                  <c:v>257.6702602082064</c:v>
                </c:pt>
                <c:pt idx="480">
                  <c:v>247.46233170370914</c:v>
                </c:pt>
                <c:pt idx="481">
                  <c:v>237.24219365617978</c:v>
                </c:pt>
                <c:pt idx="482">
                  <c:v>227.01013306205047</c:v>
                </c:pt>
                <c:pt idx="483">
                  <c:v>216.76643301572869</c:v>
                </c:pt>
                <c:pt idx="484">
                  <c:v>206.51137274314075</c:v>
                </c:pt>
                <c:pt idx="485">
                  <c:v>196.24522763554955</c:v>
                </c:pt>
                <c:pt idx="486">
                  <c:v>185.96826928362444</c:v>
                </c:pt>
                <c:pt idx="487">
                  <c:v>175.68076551174082</c:v>
                </c:pt>
                <c:pt idx="488">
                  <c:v>165.38298041248873</c:v>
                </c:pt>
                <c:pt idx="489">
                  <c:v>155.07517438136935</c:v>
                </c:pt>
                <c:pt idx="490">
                  <c:v>144.75760415165956</c:v>
                </c:pt>
                <c:pt idx="491">
                  <c:v>134.43052282942494</c:v>
                </c:pt>
                <c:pt idx="492">
                  <c:v>124.09417992866238</c:v>
                </c:pt>
                <c:pt idx="493">
                  <c:v>113.74882140655403</c:v>
                </c:pt>
                <c:pt idx="494">
                  <c:v>103.39468969881452</c:v>
                </c:pt>
                <c:pt idx="495">
                  <c:v>93.032023755114636</c:v>
                </c:pt>
                <c:pt idx="496">
                  <c:v>82.661059074564406</c:v>
                </c:pt>
                <c:pt idx="497">
                  <c:v>72.282027741239631</c:v>
                </c:pt>
                <c:pt idx="498">
                  <c:v>61.895158459736237</c:v>
                </c:pt>
                <c:pt idx="499">
                  <c:v>51.500676590737307</c:v>
                </c:pt>
                <c:pt idx="500">
                  <c:v>41.098804186578192</c:v>
                </c:pt>
                <c:pt idx="501">
                  <c:v>30.689760026795661</c:v>
                </c:pt>
                <c:pt idx="502">
                  <c:v>20.273759653647403</c:v>
                </c:pt>
                <c:pt idx="503">
                  <c:v>9.8510154075888465</c:v>
                </c:pt>
                <c:pt idx="504">
                  <c:v>-0.57826353730539637</c:v>
                </c:pt>
                <c:pt idx="505">
                  <c:v>-0.58869603481298183</c:v>
                </c:pt>
                <c:pt idx="506">
                  <c:v>-0.59912853854687931</c:v>
                </c:pt>
                <c:pt idx="507">
                  <c:v>-0.60956104850688764</c:v>
                </c:pt>
                <c:pt idx="508">
                  <c:v>-0.61999356469280564</c:v>
                </c:pt>
                <c:pt idx="509">
                  <c:v>-0.63042608710443215</c:v>
                </c:pt>
                <c:pt idx="510">
                  <c:v>-0.640858615741566</c:v>
                </c:pt>
                <c:pt idx="511">
                  <c:v>-0.65129115060400611</c:v>
                </c:pt>
                <c:pt idx="512">
                  <c:v>-0.66172369169155121</c:v>
                </c:pt>
                <c:pt idx="513">
                  <c:v>-0.67215623900400023</c:v>
                </c:pt>
                <c:pt idx="514">
                  <c:v>-0.68258879254115201</c:v>
                </c:pt>
                <c:pt idx="515">
                  <c:v>-0.69302135230280548</c:v>
                </c:pt>
                <c:pt idx="516">
                  <c:v>-0.70345391828875936</c:v>
                </c:pt>
                <c:pt idx="517">
                  <c:v>-0.71388649049881259</c:v>
                </c:pt>
                <c:pt idx="518">
                  <c:v>-0.7243190689327641</c:v>
                </c:pt>
                <c:pt idx="519">
                  <c:v>-0.73475165359041261</c:v>
                </c:pt>
                <c:pt idx="520">
                  <c:v>-0.74518424447155707</c:v>
                </c:pt>
                <c:pt idx="521">
                  <c:v>-0.7556168415759964</c:v>
                </c:pt>
                <c:pt idx="522">
                  <c:v>-0.76604944490352944</c:v>
                </c:pt>
                <c:pt idx="523">
                  <c:v>-0.77648205445395502</c:v>
                </c:pt>
                <c:pt idx="524">
                  <c:v>-0.78691467022707207</c:v>
                </c:pt>
                <c:pt idx="525">
                  <c:v>-0.79734729222267953</c:v>
                </c:pt>
                <c:pt idx="526">
                  <c:v>-0.80777992044057623</c:v>
                </c:pt>
                <c:pt idx="527">
                  <c:v>-0.81821255488056099</c:v>
                </c:pt>
                <c:pt idx="528">
                  <c:v>-0.82864519554243277</c:v>
                </c:pt>
                <c:pt idx="529">
                  <c:v>-0.83907784242599048</c:v>
                </c:pt>
                <c:pt idx="530">
                  <c:v>-0.84951049553103308</c:v>
                </c:pt>
                <c:pt idx="531">
                  <c:v>-0.85994315485735939</c:v>
                </c:pt>
                <c:pt idx="532">
                  <c:v>-0.87037582040476835</c:v>
                </c:pt>
                <c:pt idx="533">
                  <c:v>-0.8808084921730589</c:v>
                </c:pt>
                <c:pt idx="534">
                  <c:v>-0.89124117016202986</c:v>
                </c:pt>
                <c:pt idx="535">
                  <c:v>-0.90167385437148018</c:v>
                </c:pt>
                <c:pt idx="536">
                  <c:v>-0.91210654480120879</c:v>
                </c:pt>
                <c:pt idx="537">
                  <c:v>-0.92253924145101462</c:v>
                </c:pt>
                <c:pt idx="538">
                  <c:v>-0.93297194432069663</c:v>
                </c:pt>
                <c:pt idx="539">
                  <c:v>-0.94340465341005375</c:v>
                </c:pt>
                <c:pt idx="540">
                  <c:v>-0.95383736871888491</c:v>
                </c:pt>
                <c:pt idx="541">
                  <c:v>-0.96427009024698895</c:v>
                </c:pt>
                <c:pt idx="542">
                  <c:v>-0.97470281799416492</c:v>
                </c:pt>
                <c:pt idx="543">
                  <c:v>-0.98513555196021174</c:v>
                </c:pt>
                <c:pt idx="544">
                  <c:v>-0.99556829214492826</c:v>
                </c:pt>
                <c:pt idx="545">
                  <c:v>-1.0060010385481135</c:v>
                </c:pt>
                <c:pt idx="546">
                  <c:v>-1.0164337911695664</c:v>
                </c:pt>
                <c:pt idx="547">
                  <c:v>-1.0268665500090861</c:v>
                </c:pt>
                <c:pt idx="548">
                  <c:v>-1.0372993150664713</c:v>
                </c:pt>
                <c:pt idx="549">
                  <c:v>-1.0477320863415209</c:v>
                </c:pt>
                <c:pt idx="550">
                  <c:v>-1.0581648638340342</c:v>
                </c:pt>
                <c:pt idx="551">
                  <c:v>-1.0685976475438099</c:v>
                </c:pt>
                <c:pt idx="552">
                  <c:v>-1.079030437470647</c:v>
                </c:pt>
                <c:pt idx="553">
                  <c:v>-1.0894632336143444</c:v>
                </c:pt>
                <c:pt idx="554">
                  <c:v>-1.0998960359747012</c:v>
                </c:pt>
                <c:pt idx="555">
                  <c:v>-1.1103288445515165</c:v>
                </c:pt>
                <c:pt idx="556">
                  <c:v>-1.120761659344589</c:v>
                </c:pt>
                <c:pt idx="557">
                  <c:v>-1.1311944803537179</c:v>
                </c:pt>
                <c:pt idx="558">
                  <c:v>-1.1416273075787022</c:v>
                </c:pt>
                <c:pt idx="559">
                  <c:v>-1.1520601410193407</c:v>
                </c:pt>
                <c:pt idx="560">
                  <c:v>-1.1624929806754325</c:v>
                </c:pt>
                <c:pt idx="561">
                  <c:v>-1.1729258265467766</c:v>
                </c:pt>
                <c:pt idx="562">
                  <c:v>-1.183358678633172</c:v>
                </c:pt>
                <c:pt idx="563">
                  <c:v>-1.1937915369344176</c:v>
                </c:pt>
                <c:pt idx="564">
                  <c:v>-1.2042244014503125</c:v>
                </c:pt>
                <c:pt idx="565">
                  <c:v>-1.2146572721806557</c:v>
                </c:pt>
                <c:pt idx="566">
                  <c:v>-1.2250901491252462</c:v>
                </c:pt>
                <c:pt idx="567">
                  <c:v>-1.235523032283883</c:v>
                </c:pt>
                <c:pt idx="568">
                  <c:v>-1.2459559216563652</c:v>
                </c:pt>
                <c:pt idx="569">
                  <c:v>-1.2563888172424917</c:v>
                </c:pt>
                <c:pt idx="570">
                  <c:v>-1.2668217190420616</c:v>
                </c:pt>
                <c:pt idx="571">
                  <c:v>-1.2772546270548739</c:v>
                </c:pt>
                <c:pt idx="572">
                  <c:v>-1.2876875412807276</c:v>
                </c:pt>
                <c:pt idx="573">
                  <c:v>-1.298120461719422</c:v>
                </c:pt>
                <c:pt idx="574">
                  <c:v>-1.3085533883707556</c:v>
                </c:pt>
                <c:pt idx="575">
                  <c:v>-1.3189863212345279</c:v>
                </c:pt>
                <c:pt idx="576">
                  <c:v>-1.3294192603105377</c:v>
                </c:pt>
                <c:pt idx="577">
                  <c:v>-1.3398522055985842</c:v>
                </c:pt>
                <c:pt idx="578">
                  <c:v>-1.3502851570984664</c:v>
                </c:pt>
                <c:pt idx="579">
                  <c:v>-1.3607181148099834</c:v>
                </c:pt>
                <c:pt idx="580">
                  <c:v>-1.3711510787329342</c:v>
                </c:pt>
                <c:pt idx="581">
                  <c:v>-1.3815840488671176</c:v>
                </c:pt>
                <c:pt idx="582">
                  <c:v>-1.3920170252123329</c:v>
                </c:pt>
                <c:pt idx="583">
                  <c:v>-1.4024500077683792</c:v>
                </c:pt>
                <c:pt idx="584">
                  <c:v>-1.4128829965350556</c:v>
                </c:pt>
                <c:pt idx="585">
                  <c:v>-1.4233159915121609</c:v>
                </c:pt>
                <c:pt idx="586">
                  <c:v>-1.4337489926994946</c:v>
                </c:pt>
                <c:pt idx="587">
                  <c:v>-1.4441820000968555</c:v>
                </c:pt>
                <c:pt idx="588">
                  <c:v>-1.4546150137040426</c:v>
                </c:pt>
                <c:pt idx="589">
                  <c:v>-1.4650480335208551</c:v>
                </c:pt>
                <c:pt idx="590">
                  <c:v>-1.4754810595470922</c:v>
                </c:pt>
                <c:pt idx="591">
                  <c:v>-1.4859140917825528</c:v>
                </c:pt>
                <c:pt idx="592">
                  <c:v>-1.4963471302270361</c:v>
                </c:pt>
                <c:pt idx="593">
                  <c:v>-1.5067801748803411</c:v>
                </c:pt>
                <c:pt idx="594">
                  <c:v>-1.517213225742267</c:v>
                </c:pt>
                <c:pt idx="595">
                  <c:v>-1.5276462828126127</c:v>
                </c:pt>
                <c:pt idx="596">
                  <c:v>-1.5380793460911775</c:v>
                </c:pt>
                <c:pt idx="597">
                  <c:v>-1.5485124155777603</c:v>
                </c:pt>
                <c:pt idx="598">
                  <c:v>-1.5589454912721605</c:v>
                </c:pt>
                <c:pt idx="599">
                  <c:v>-1.5693785731741772</c:v>
                </c:pt>
                <c:pt idx="600">
                  <c:v>-1.5798116612836093</c:v>
                </c:pt>
                <c:pt idx="601">
                  <c:v>-1.5902447556002559</c:v>
                </c:pt>
                <c:pt idx="602">
                  <c:v>-1.6006778561239163</c:v>
                </c:pt>
                <c:pt idx="603">
                  <c:v>-1.6111109628543894</c:v>
                </c:pt>
                <c:pt idx="604">
                  <c:v>-1.6215440757914745</c:v>
                </c:pt>
                <c:pt idx="605">
                  <c:v>-1.6319771949349706</c:v>
                </c:pt>
                <c:pt idx="606">
                  <c:v>-1.6424103202846769</c:v>
                </c:pt>
                <c:pt idx="607">
                  <c:v>-1.6528434518403927</c:v>
                </c:pt>
                <c:pt idx="608">
                  <c:v>-1.663276589601917</c:v>
                </c:pt>
                <c:pt idx="609">
                  <c:v>-1.673709733569049</c:v>
                </c:pt>
                <c:pt idx="610">
                  <c:v>-1.6841428837415877</c:v>
                </c:pt>
                <c:pt idx="611">
                  <c:v>-1.6945760401193324</c:v>
                </c:pt>
                <c:pt idx="612">
                  <c:v>-1.705009202702082</c:v>
                </c:pt>
                <c:pt idx="613">
                  <c:v>-1.7154423714896359</c:v>
                </c:pt>
                <c:pt idx="614">
                  <c:v>-1.7258755464817932</c:v>
                </c:pt>
                <c:pt idx="615">
                  <c:v>-1.7363087276783531</c:v>
                </c:pt>
                <c:pt idx="616">
                  <c:v>-1.7467419150791146</c:v>
                </c:pt>
                <c:pt idx="617">
                  <c:v>-1.7571751086838769</c:v>
                </c:pt>
                <c:pt idx="618">
                  <c:v>-1.7676083084924394</c:v>
                </c:pt>
                <c:pt idx="619">
                  <c:v>-1.7780415145046011</c:v>
                </c:pt>
                <c:pt idx="620">
                  <c:v>-1.7884747267201611</c:v>
                </c:pt>
                <c:pt idx="621">
                  <c:v>-1.7989079451389185</c:v>
                </c:pt>
                <c:pt idx="622">
                  <c:v>-1.8093411697606727</c:v>
                </c:pt>
                <c:pt idx="623">
                  <c:v>-1.819774400585223</c:v>
                </c:pt>
                <c:pt idx="624">
                  <c:v>-1.8302076376123684</c:v>
                </c:pt>
                <c:pt idx="625">
                  <c:v>-1.8406408808419079</c:v>
                </c:pt>
                <c:pt idx="626">
                  <c:v>-1.8510741302736411</c:v>
                </c:pt>
                <c:pt idx="627">
                  <c:v>-1.8615073859073668</c:v>
                </c:pt>
                <c:pt idx="628">
                  <c:v>-1.8719406477428844</c:v>
                </c:pt>
                <c:pt idx="629">
                  <c:v>-1.882373915779993</c:v>
                </c:pt>
                <c:pt idx="630">
                  <c:v>-1.892807190018492</c:v>
                </c:pt>
                <c:pt idx="631">
                  <c:v>-1.9032404704581805</c:v>
                </c:pt>
                <c:pt idx="632">
                  <c:v>-1.9136737570988576</c:v>
                </c:pt>
                <c:pt idx="633">
                  <c:v>-1.9241070499403228</c:v>
                </c:pt>
                <c:pt idx="634">
                  <c:v>-1.9345403489823749</c:v>
                </c:pt>
                <c:pt idx="635">
                  <c:v>-1.9449736542248135</c:v>
                </c:pt>
                <c:pt idx="636">
                  <c:v>-1.9554069656674378</c:v>
                </c:pt>
                <c:pt idx="637">
                  <c:v>-1.9658402833100468</c:v>
                </c:pt>
                <c:pt idx="638">
                  <c:v>-1.9762736071524398</c:v>
                </c:pt>
                <c:pt idx="639">
                  <c:v>-1.9867069371944162</c:v>
                </c:pt>
                <c:pt idx="640">
                  <c:v>-1.9971402734357748</c:v>
                </c:pt>
                <c:pt idx="641">
                  <c:v>-2.0075736158763151</c:v>
                </c:pt>
                <c:pt idx="642">
                  <c:v>-2.0180069645158367</c:v>
                </c:pt>
                <c:pt idx="643">
                  <c:v>-2.0284403193541385</c:v>
                </c:pt>
                <c:pt idx="644">
                  <c:v>-2.0388736803910197</c:v>
                </c:pt>
                <c:pt idx="645">
                  <c:v>-2.0493070476262796</c:v>
                </c:pt>
                <c:pt idx="646">
                  <c:v>-2.0597404210597174</c:v>
                </c:pt>
                <c:pt idx="647">
                  <c:v>-2.0701738006911325</c:v>
                </c:pt>
                <c:pt idx="648">
                  <c:v>-2.0806071865203242</c:v>
                </c:pt>
                <c:pt idx="649">
                  <c:v>-2.0910405785470916</c:v>
                </c:pt>
                <c:pt idx="650">
                  <c:v>-2.101473976771234</c:v>
                </c:pt>
                <c:pt idx="651">
                  <c:v>-2.1119073811925504</c:v>
                </c:pt>
                <c:pt idx="652">
                  <c:v>-2.1223407918108403</c:v>
                </c:pt>
                <c:pt idx="653">
                  <c:v>-2.1327742086259032</c:v>
                </c:pt>
                <c:pt idx="654">
                  <c:v>-2.1432076316375381</c:v>
                </c:pt>
                <c:pt idx="655">
                  <c:v>-2.1536410608455445</c:v>
                </c:pt>
                <c:pt idx="656">
                  <c:v>-2.1640744962497216</c:v>
                </c:pt>
                <c:pt idx="657">
                  <c:v>-2.1745079378498686</c:v>
                </c:pt>
                <c:pt idx="658">
                  <c:v>-2.1849413856457849</c:v>
                </c:pt>
                <c:pt idx="659">
                  <c:v>-2.1953748396372696</c:v>
                </c:pt>
                <c:pt idx="660">
                  <c:v>-2.2058082998241222</c:v>
                </c:pt>
                <c:pt idx="661">
                  <c:v>-2.2162417662061418</c:v>
                </c:pt>
                <c:pt idx="662">
                  <c:v>-2.2266752387831277</c:v>
                </c:pt>
                <c:pt idx="663">
                  <c:v>-2.2371087175548796</c:v>
                </c:pt>
                <c:pt idx="664">
                  <c:v>-2.2475422025211964</c:v>
                </c:pt>
                <c:pt idx="665">
                  <c:v>-2.2579756936818778</c:v>
                </c:pt>
                <c:pt idx="666">
                  <c:v>-2.2684091910367226</c:v>
                </c:pt>
                <c:pt idx="667">
                  <c:v>-2.2788426945855305</c:v>
                </c:pt>
                <c:pt idx="668">
                  <c:v>-2.2892762043281003</c:v>
                </c:pt>
                <c:pt idx="669">
                  <c:v>-2.2997097202642318</c:v>
                </c:pt>
                <c:pt idx="670">
                  <c:v>-2.3101432423937243</c:v>
                </c:pt>
                <c:pt idx="671">
                  <c:v>-2.3205767707163769</c:v>
                </c:pt>
                <c:pt idx="672">
                  <c:v>-2.3310103052319895</c:v>
                </c:pt>
                <c:pt idx="673">
                  <c:v>-2.3414438459403608</c:v>
                </c:pt>
                <c:pt idx="674">
                  <c:v>-2.3518773928412906</c:v>
                </c:pt>
                <c:pt idx="675">
                  <c:v>-2.3623109459345777</c:v>
                </c:pt>
                <c:pt idx="676">
                  <c:v>-2.3727445052200218</c:v>
                </c:pt>
                <c:pt idx="677">
                  <c:v>-2.3831780706974222</c:v>
                </c:pt>
                <c:pt idx="678">
                  <c:v>-2.3936116423665781</c:v>
                </c:pt>
                <c:pt idx="679">
                  <c:v>-2.4040452202272893</c:v>
                </c:pt>
                <c:pt idx="680">
                  <c:v>-2.4144788042793546</c:v>
                </c:pt>
                <c:pt idx="681">
                  <c:v>-2.4249123945225737</c:v>
                </c:pt>
                <c:pt idx="682">
                  <c:v>-2.4353459909567459</c:v>
                </c:pt>
                <c:pt idx="683">
                  <c:v>-2.4457795935816704</c:v>
                </c:pt>
                <c:pt idx="684">
                  <c:v>-2.456213202397147</c:v>
                </c:pt>
                <c:pt idx="685">
                  <c:v>-2.4666468174029745</c:v>
                </c:pt>
                <c:pt idx="686">
                  <c:v>-2.4770804385989527</c:v>
                </c:pt>
                <c:pt idx="687">
                  <c:v>-2.4875140659848807</c:v>
                </c:pt>
                <c:pt idx="688">
                  <c:v>-2.4979476995605583</c:v>
                </c:pt>
                <c:pt idx="689">
                  <c:v>-2.5083813393257843</c:v>
                </c:pt>
                <c:pt idx="690">
                  <c:v>-2.5188149852803585</c:v>
                </c:pt>
                <c:pt idx="691">
                  <c:v>-2.5292486374240801</c:v>
                </c:pt>
                <c:pt idx="692">
                  <c:v>-2.5396822957567489</c:v>
                </c:pt>
                <c:pt idx="693">
                  <c:v>-2.5501159602781636</c:v>
                </c:pt>
                <c:pt idx="694">
                  <c:v>-2.5605496309881239</c:v>
                </c:pt>
                <c:pt idx="695">
                  <c:v>-2.5709833078864293</c:v>
                </c:pt>
                <c:pt idx="696">
                  <c:v>-2.5814169909728792</c:v>
                </c:pt>
                <c:pt idx="697">
                  <c:v>-2.5918506802472732</c:v>
                </c:pt>
                <c:pt idx="698">
                  <c:v>-2.6022843757094103</c:v>
                </c:pt>
                <c:pt idx="699">
                  <c:v>-2.6127180773590899</c:v>
                </c:pt>
                <c:pt idx="700">
                  <c:v>-2.6231517851961117</c:v>
                </c:pt>
                <c:pt idx="701">
                  <c:v>-2.633585499220275</c:v>
                </c:pt>
                <c:pt idx="702">
                  <c:v>-2.6440192194313794</c:v>
                </c:pt>
                <c:pt idx="703">
                  <c:v>-2.6544529458292239</c:v>
                </c:pt>
                <c:pt idx="704">
                  <c:v>-2.664886678413608</c:v>
                </c:pt>
                <c:pt idx="705">
                  <c:v>-2.6753204171843317</c:v>
                </c:pt>
                <c:pt idx="706">
                  <c:v>-2.685754162141194</c:v>
                </c:pt>
                <c:pt idx="707">
                  <c:v>-2.6961879132839943</c:v>
                </c:pt>
                <c:pt idx="708">
                  <c:v>-2.7066216706125323</c:v>
                </c:pt>
                <c:pt idx="709">
                  <c:v>-2.7170554341266073</c:v>
                </c:pt>
                <c:pt idx="710">
                  <c:v>-2.7274892038260186</c:v>
                </c:pt>
                <c:pt idx="711">
                  <c:v>-2.7379229797105658</c:v>
                </c:pt>
                <c:pt idx="712">
                  <c:v>-2.7483567617800482</c:v>
                </c:pt>
                <c:pt idx="713">
                  <c:v>-2.7587905500342655</c:v>
                </c:pt>
                <c:pt idx="714">
                  <c:v>-2.7692243444730171</c:v>
                </c:pt>
                <c:pt idx="715">
                  <c:v>-2.7796581450961022</c:v>
                </c:pt>
                <c:pt idx="716">
                  <c:v>-2.7900919519033205</c:v>
                </c:pt>
                <c:pt idx="717">
                  <c:v>-2.8005257648944712</c:v>
                </c:pt>
                <c:pt idx="718">
                  <c:v>-2.8109595840693542</c:v>
                </c:pt>
                <c:pt idx="719">
                  <c:v>-2.8213934094277686</c:v>
                </c:pt>
                <c:pt idx="720">
                  <c:v>-2.8318272409695142</c:v>
                </c:pt>
                <c:pt idx="721">
                  <c:v>-2.8422610786943903</c:v>
                </c:pt>
                <c:pt idx="722">
                  <c:v>-2.8526949226021965</c:v>
                </c:pt>
                <c:pt idx="723">
                  <c:v>-2.8631287726927321</c:v>
                </c:pt>
                <c:pt idx="724">
                  <c:v>-2.873562628965797</c:v>
                </c:pt>
                <c:pt idx="725">
                  <c:v>-2.8839964914211902</c:v>
                </c:pt>
                <c:pt idx="726">
                  <c:v>-2.8944303600587111</c:v>
                </c:pt>
                <c:pt idx="727">
                  <c:v>-2.9048642348781595</c:v>
                </c:pt>
                <c:pt idx="728">
                  <c:v>-2.915298115879335</c:v>
                </c:pt>
                <c:pt idx="729">
                  <c:v>-2.9257320030620368</c:v>
                </c:pt>
                <c:pt idx="730">
                  <c:v>-2.9361658964260648</c:v>
                </c:pt>
                <c:pt idx="731">
                  <c:v>-2.9465997959712182</c:v>
                </c:pt>
                <c:pt idx="732">
                  <c:v>-2.9570337016972967</c:v>
                </c:pt>
                <c:pt idx="733">
                  <c:v>-2.9674676136040996</c:v>
                </c:pt>
                <c:pt idx="734">
                  <c:v>-2.9779015316914266</c:v>
                </c:pt>
                <c:pt idx="735">
                  <c:v>-2.9883354559590769</c:v>
                </c:pt>
                <c:pt idx="736">
                  <c:v>-2.9987693864068503</c:v>
                </c:pt>
                <c:pt idx="737">
                  <c:v>-3.0092033230345465</c:v>
                </c:pt>
                <c:pt idx="738">
                  <c:v>-3.0196372658419648</c:v>
                </c:pt>
                <c:pt idx="739">
                  <c:v>-3.0300712148289048</c:v>
                </c:pt>
                <c:pt idx="740">
                  <c:v>-3.040505169995166</c:v>
                </c:pt>
                <c:pt idx="741">
                  <c:v>-3.0509391313405478</c:v>
                </c:pt>
                <c:pt idx="742">
                  <c:v>-3.0613730988648498</c:v>
                </c:pt>
                <c:pt idx="743">
                  <c:v>-3.0718070725678719</c:v>
                </c:pt>
                <c:pt idx="744">
                  <c:v>-3.082241052449413</c:v>
                </c:pt>
                <c:pt idx="745">
                  <c:v>-3.0926750385092734</c:v>
                </c:pt>
                <c:pt idx="746">
                  <c:v>-3.1031090307472522</c:v>
                </c:pt>
                <c:pt idx="747">
                  <c:v>-3.1135430291631492</c:v>
                </c:pt>
                <c:pt idx="748">
                  <c:v>-3.1239770337567636</c:v>
                </c:pt>
                <c:pt idx="749">
                  <c:v>-3.1344110445278952</c:v>
                </c:pt>
                <c:pt idx="750">
                  <c:v>-3.1448450614763437</c:v>
                </c:pt>
                <c:pt idx="751">
                  <c:v>-3.1552790846019083</c:v>
                </c:pt>
                <c:pt idx="752">
                  <c:v>-3.1657131139043888</c:v>
                </c:pt>
                <c:pt idx="753">
                  <c:v>-3.1761471493835849</c:v>
                </c:pt>
                <c:pt idx="754">
                  <c:v>-3.1865811910392958</c:v>
                </c:pt>
                <c:pt idx="755">
                  <c:v>-3.1970152388713213</c:v>
                </c:pt>
                <c:pt idx="756">
                  <c:v>-3.2074492928794611</c:v>
                </c:pt>
                <c:pt idx="757">
                  <c:v>-3.2178833530635145</c:v>
                </c:pt>
                <c:pt idx="758">
                  <c:v>-3.2283174194232815</c:v>
                </c:pt>
                <c:pt idx="759">
                  <c:v>-3.2387514919585616</c:v>
                </c:pt>
                <c:pt idx="760">
                  <c:v>-3.2491855706691539</c:v>
                </c:pt>
                <c:pt idx="761">
                  <c:v>-3.2596196555548587</c:v>
                </c:pt>
                <c:pt idx="762">
                  <c:v>-3.2700537466154751</c:v>
                </c:pt>
                <c:pt idx="763">
                  <c:v>-3.2804878438508029</c:v>
                </c:pt>
                <c:pt idx="764">
                  <c:v>-3.2909219472606415</c:v>
                </c:pt>
                <c:pt idx="765">
                  <c:v>-3.3013560568447908</c:v>
                </c:pt>
                <c:pt idx="766">
                  <c:v>-3.3117901726030503</c:v>
                </c:pt>
                <c:pt idx="767">
                  <c:v>-3.3222242945352196</c:v>
                </c:pt>
                <c:pt idx="768">
                  <c:v>-3.3326584226410985</c:v>
                </c:pt>
                <c:pt idx="769">
                  <c:v>-3.3430925569204861</c:v>
                </c:pt>
                <c:pt idx="770">
                  <c:v>-3.3535266973731828</c:v>
                </c:pt>
                <c:pt idx="771">
                  <c:v>-3.3639608439989876</c:v>
                </c:pt>
                <c:pt idx="772">
                  <c:v>-3.3743949967977005</c:v>
                </c:pt>
                <c:pt idx="773">
                  <c:v>-3.384829155769121</c:v>
                </c:pt>
                <c:pt idx="774">
                  <c:v>-3.3952633209130485</c:v>
                </c:pt>
                <c:pt idx="775">
                  <c:v>-3.4056974922292831</c:v>
                </c:pt>
                <c:pt idx="776">
                  <c:v>-3.4161316697176241</c:v>
                </c:pt>
                <c:pt idx="777">
                  <c:v>-3.4265658533778711</c:v>
                </c:pt>
                <c:pt idx="778">
                  <c:v>-3.437000043209824</c:v>
                </c:pt>
                <c:pt idx="779">
                  <c:v>-3.4474342392132824</c:v>
                </c:pt>
                <c:pt idx="780">
                  <c:v>-3.4578684413880461</c:v>
                </c:pt>
                <c:pt idx="781">
                  <c:v>-3.4683026497339147</c:v>
                </c:pt>
                <c:pt idx="782">
                  <c:v>-3.4787368642506875</c:v>
                </c:pt>
                <c:pt idx="783">
                  <c:v>-3.4891710849381647</c:v>
                </c:pt>
                <c:pt idx="784">
                  <c:v>-3.4996053117961456</c:v>
                </c:pt>
                <c:pt idx="785">
                  <c:v>-3.5100395448244299</c:v>
                </c:pt>
                <c:pt idx="786">
                  <c:v>-3.5204737840228173</c:v>
                </c:pt>
                <c:pt idx="787">
                  <c:v>-3.5309080293911075</c:v>
                </c:pt>
                <c:pt idx="788">
                  <c:v>-3.5413422809291002</c:v>
                </c:pt>
                <c:pt idx="789">
                  <c:v>-3.5517765386365951</c:v>
                </c:pt>
                <c:pt idx="790">
                  <c:v>-3.5622108025133921</c:v>
                </c:pt>
                <c:pt idx="791">
                  <c:v>-3.5726450725592906</c:v>
                </c:pt>
                <c:pt idx="792">
                  <c:v>-3.5830793487740902</c:v>
                </c:pt>
                <c:pt idx="793">
                  <c:v>-3.5935136311575908</c:v>
                </c:pt>
                <c:pt idx="794">
                  <c:v>-3.6039479197095923</c:v>
                </c:pt>
                <c:pt idx="795">
                  <c:v>-3.6143822144298938</c:v>
                </c:pt>
                <c:pt idx="796">
                  <c:v>-3.6248165153182956</c:v>
                </c:pt>
                <c:pt idx="797">
                  <c:v>-3.635250822374597</c:v>
                </c:pt>
                <c:pt idx="798">
                  <c:v>-3.645685135598598</c:v>
                </c:pt>
                <c:pt idx="799">
                  <c:v>-3.6561194549900984</c:v>
                </c:pt>
                <c:pt idx="800">
                  <c:v>-3.6665537805488975</c:v>
                </c:pt>
                <c:pt idx="801">
                  <c:v>-3.6769881122747954</c:v>
                </c:pt>
                <c:pt idx="802">
                  <c:v>-3.6874224501675914</c:v>
                </c:pt>
                <c:pt idx="803">
                  <c:v>-3.6978567942270857</c:v>
                </c:pt>
                <c:pt idx="804">
                  <c:v>-3.7082911444530775</c:v>
                </c:pt>
                <c:pt idx="805">
                  <c:v>-3.718725500845367</c:v>
                </c:pt>
                <c:pt idx="806">
                  <c:v>-3.7291598634037539</c:v>
                </c:pt>
                <c:pt idx="807">
                  <c:v>-3.739594232128038</c:v>
                </c:pt>
                <c:pt idx="808">
                  <c:v>-3.7500286070180184</c:v>
                </c:pt>
                <c:pt idx="809">
                  <c:v>-3.7604629880734954</c:v>
                </c:pt>
                <c:pt idx="810">
                  <c:v>-3.7708973752942687</c:v>
                </c:pt>
                <c:pt idx="811">
                  <c:v>-3.781331768680138</c:v>
                </c:pt>
                <c:pt idx="812">
                  <c:v>-3.7917661682309034</c:v>
                </c:pt>
                <c:pt idx="813">
                  <c:v>-3.8022005739463642</c:v>
                </c:pt>
                <c:pt idx="814">
                  <c:v>-3.8126349858263202</c:v>
                </c:pt>
                <c:pt idx="815">
                  <c:v>-3.823069403870571</c:v>
                </c:pt>
                <c:pt idx="816">
                  <c:v>-3.8335038280789169</c:v>
                </c:pt>
                <c:pt idx="817">
                  <c:v>-3.8439382584511574</c:v>
                </c:pt>
                <c:pt idx="818">
                  <c:v>-3.854372694987092</c:v>
                </c:pt>
                <c:pt idx="819">
                  <c:v>-3.8648071376865207</c:v>
                </c:pt>
                <c:pt idx="820">
                  <c:v>-3.8752415865492433</c:v>
                </c:pt>
                <c:pt idx="821">
                  <c:v>-3.88567604157506</c:v>
                </c:pt>
                <c:pt idx="822">
                  <c:v>-3.8961105027637699</c:v>
                </c:pt>
                <c:pt idx="823">
                  <c:v>-3.9065449701151733</c:v>
                </c:pt>
                <c:pt idx="824">
                  <c:v>-3.9169794436290695</c:v>
                </c:pt>
                <c:pt idx="825">
                  <c:v>-3.9274139233052585</c:v>
                </c:pt>
                <c:pt idx="826">
                  <c:v>-3.9378484091435402</c:v>
                </c:pt>
                <c:pt idx="827">
                  <c:v>-3.9482829011437142</c:v>
                </c:pt>
                <c:pt idx="828">
                  <c:v>-3.9587173993055806</c:v>
                </c:pt>
                <c:pt idx="829">
                  <c:v>-3.9691519036289389</c:v>
                </c:pt>
                <c:pt idx="830">
                  <c:v>-3.979586414113589</c:v>
                </c:pt>
                <c:pt idx="831">
                  <c:v>-3.9900209307593308</c:v>
                </c:pt>
                <c:pt idx="832">
                  <c:v>-4.000455453565964</c:v>
                </c:pt>
                <c:pt idx="833">
                  <c:v>-4.0108899825332891</c:v>
                </c:pt>
                <c:pt idx="834">
                  <c:v>-4.021324517661105</c:v>
                </c:pt>
                <c:pt idx="835">
                  <c:v>-4.0317590589492118</c:v>
                </c:pt>
                <c:pt idx="836">
                  <c:v>-4.0421936063974098</c:v>
                </c:pt>
                <c:pt idx="837">
                  <c:v>-4.0526281600054981</c:v>
                </c:pt>
                <c:pt idx="838">
                  <c:v>-4.0630627197732769</c:v>
                </c:pt>
                <c:pt idx="839">
                  <c:v>-4.0734972857005456</c:v>
                </c:pt>
                <c:pt idx="840">
                  <c:v>-4.0839318577871042</c:v>
                </c:pt>
                <c:pt idx="841">
                  <c:v>-4.094366436032753</c:v>
                </c:pt>
                <c:pt idx="842">
                  <c:v>-4.104801020437292</c:v>
                </c:pt>
                <c:pt idx="843">
                  <c:v>-4.1152356110005206</c:v>
                </c:pt>
                <c:pt idx="844">
                  <c:v>-4.125670207722238</c:v>
                </c:pt>
                <c:pt idx="845">
                  <c:v>-4.1361048106022453</c:v>
                </c:pt>
                <c:pt idx="846">
                  <c:v>-4.1465394196403418</c:v>
                </c:pt>
                <c:pt idx="847">
                  <c:v>-4.1569740348363267</c:v>
                </c:pt>
                <c:pt idx="848">
                  <c:v>-4.167408656190001</c:v>
                </c:pt>
                <c:pt idx="849">
                  <c:v>-4.1778432837011641</c:v>
                </c:pt>
                <c:pt idx="850">
                  <c:v>-4.1882779173696161</c:v>
                </c:pt>
                <c:pt idx="851">
                  <c:v>-4.1987125571951562</c:v>
                </c:pt>
                <c:pt idx="852">
                  <c:v>-4.2091472031775847</c:v>
                </c:pt>
                <c:pt idx="853">
                  <c:v>-4.2195818553167017</c:v>
                </c:pt>
                <c:pt idx="854">
                  <c:v>-4.2300165136123065</c:v>
                </c:pt>
                <c:pt idx="855">
                  <c:v>-4.2404511780641991</c:v>
                </c:pt>
                <c:pt idx="856">
                  <c:v>-4.2508858486721799</c:v>
                </c:pt>
                <c:pt idx="857">
                  <c:v>-4.2613205254360489</c:v>
                </c:pt>
                <c:pt idx="858">
                  <c:v>-4.2717552083556054</c:v>
                </c:pt>
                <c:pt idx="859">
                  <c:v>-4.2821898974306496</c:v>
                </c:pt>
                <c:pt idx="860">
                  <c:v>-4.2926245926609807</c:v>
                </c:pt>
                <c:pt idx="861">
                  <c:v>-4.3030592940463999</c:v>
                </c:pt>
                <c:pt idx="862">
                  <c:v>-4.3134940015867063</c:v>
                </c:pt>
                <c:pt idx="863">
                  <c:v>-4.3239287152817001</c:v>
                </c:pt>
                <c:pt idx="864">
                  <c:v>-4.3343634351311806</c:v>
                </c:pt>
                <c:pt idx="865">
                  <c:v>-4.344798161134948</c:v>
                </c:pt>
                <c:pt idx="866">
                  <c:v>-4.3552328932928024</c:v>
                </c:pt>
                <c:pt idx="867">
                  <c:v>-4.365667631604544</c:v>
                </c:pt>
                <c:pt idx="868">
                  <c:v>-4.376102376069972</c:v>
                </c:pt>
                <c:pt idx="869">
                  <c:v>-4.3865371266888866</c:v>
                </c:pt>
                <c:pt idx="870">
                  <c:v>-4.396971883461088</c:v>
                </c:pt>
                <c:pt idx="871">
                  <c:v>-4.4074066463863764</c:v>
                </c:pt>
                <c:pt idx="872">
                  <c:v>-4.4178414154645509</c:v>
                </c:pt>
                <c:pt idx="873">
                  <c:v>-4.4282761906954118</c:v>
                </c:pt>
                <c:pt idx="874">
                  <c:v>-4.4387109720787592</c:v>
                </c:pt>
                <c:pt idx="875">
                  <c:v>-4.4491457596143933</c:v>
                </c:pt>
                <c:pt idx="876">
                  <c:v>-4.4595805533021133</c:v>
                </c:pt>
                <c:pt idx="877">
                  <c:v>-4.4700153531417195</c:v>
                </c:pt>
                <c:pt idx="878">
                  <c:v>-4.4804501591330119</c:v>
                </c:pt>
                <c:pt idx="879">
                  <c:v>-4.4908849712757908</c:v>
                </c:pt>
                <c:pt idx="880">
                  <c:v>-4.5013197895698553</c:v>
                </c:pt>
                <c:pt idx="881">
                  <c:v>-4.5117546140150058</c:v>
                </c:pt>
                <c:pt idx="882">
                  <c:v>-4.5221894446110422</c:v>
                </c:pt>
                <c:pt idx="883">
                  <c:v>-4.5326242813577649</c:v>
                </c:pt>
                <c:pt idx="884">
                  <c:v>-4.5430591242549738</c:v>
                </c:pt>
                <c:pt idx="885">
                  <c:v>-4.5534939733024684</c:v>
                </c:pt>
                <c:pt idx="886">
                  <c:v>-4.5639288285000488</c:v>
                </c:pt>
                <c:pt idx="887">
                  <c:v>-4.5743636898475151</c:v>
                </c:pt>
                <c:pt idx="888">
                  <c:v>-4.5847985573446675</c:v>
                </c:pt>
                <c:pt idx="889">
                  <c:v>-4.5952334309913061</c:v>
                </c:pt>
                <c:pt idx="890">
                  <c:v>-4.6056683107872303</c:v>
                </c:pt>
                <c:pt idx="891">
                  <c:v>-4.6161031967322401</c:v>
                </c:pt>
                <c:pt idx="892">
                  <c:v>-4.6265380888261358</c:v>
                </c:pt>
                <c:pt idx="893">
                  <c:v>-4.6369729870687175</c:v>
                </c:pt>
                <c:pt idx="894">
                  <c:v>-4.6474078914597854</c:v>
                </c:pt>
                <c:pt idx="895">
                  <c:v>-4.6578428019991387</c:v>
                </c:pt>
                <c:pt idx="896">
                  <c:v>-4.6682777186865776</c:v>
                </c:pt>
                <c:pt idx="897">
                  <c:v>-4.6787126415219022</c:v>
                </c:pt>
                <c:pt idx="898">
                  <c:v>-4.6891475705049128</c:v>
                </c:pt>
                <c:pt idx="899">
                  <c:v>-4.6995825056354095</c:v>
                </c:pt>
                <c:pt idx="900">
                  <c:v>-4.7100174469131924</c:v>
                </c:pt>
                <c:pt idx="901">
                  <c:v>-4.7204523943380607</c:v>
                </c:pt>
                <c:pt idx="902">
                  <c:v>-4.7308873479098157</c:v>
                </c:pt>
                <c:pt idx="903">
                  <c:v>-4.7413223076282565</c:v>
                </c:pt>
                <c:pt idx="904">
                  <c:v>-4.7517572734931832</c:v>
                </c:pt>
                <c:pt idx="905">
                  <c:v>-4.7621922455043961</c:v>
                </c:pt>
                <c:pt idx="906">
                  <c:v>-4.7726272236616953</c:v>
                </c:pt>
                <c:pt idx="907">
                  <c:v>-4.7830622079648801</c:v>
                </c:pt>
                <c:pt idx="908">
                  <c:v>-4.7934971984137515</c:v>
                </c:pt>
                <c:pt idx="909">
                  <c:v>-4.8039321950081089</c:v>
                </c:pt>
                <c:pt idx="910">
                  <c:v>-4.8143671977477522</c:v>
                </c:pt>
                <c:pt idx="911">
                  <c:v>-4.8248022066324818</c:v>
                </c:pt>
                <c:pt idx="912">
                  <c:v>-4.8352372216620978</c:v>
                </c:pt>
                <c:pt idx="913">
                  <c:v>-4.8456722428364003</c:v>
                </c:pt>
                <c:pt idx="914">
                  <c:v>-4.8561072701551895</c:v>
                </c:pt>
                <c:pt idx="915">
                  <c:v>-4.8665423036182656</c:v>
                </c:pt>
                <c:pt idx="916">
                  <c:v>-4.8769773432254278</c:v>
                </c:pt>
                <c:pt idx="917">
                  <c:v>-4.8874123889764771</c:v>
                </c:pt>
                <c:pt idx="918">
                  <c:v>-4.8978474408712129</c:v>
                </c:pt>
                <c:pt idx="919">
                  <c:v>-4.9082824989094354</c:v>
                </c:pt>
                <c:pt idx="920">
                  <c:v>-4.9187175630909445</c:v>
                </c:pt>
                <c:pt idx="921">
                  <c:v>-4.9291526334155416</c:v>
                </c:pt>
                <c:pt idx="922">
                  <c:v>-4.9395877098830256</c:v>
                </c:pt>
                <c:pt idx="923">
                  <c:v>-4.950022792493197</c:v>
                </c:pt>
                <c:pt idx="924">
                  <c:v>-4.9604578812458548</c:v>
                </c:pt>
                <c:pt idx="925">
                  <c:v>-4.9708929761408003</c:v>
                </c:pt>
                <c:pt idx="926">
                  <c:v>-4.9813280771778334</c:v>
                </c:pt>
                <c:pt idx="927">
                  <c:v>-4.9917631843567536</c:v>
                </c:pt>
                <c:pt idx="928">
                  <c:v>-5.0021982976773618</c:v>
                </c:pt>
                <c:pt idx="929">
                  <c:v>-5.0126334171394582</c:v>
                </c:pt>
                <c:pt idx="930">
                  <c:v>-5.0230685427428421</c:v>
                </c:pt>
                <c:pt idx="931">
                  <c:v>-5.0335036744873136</c:v>
                </c:pt>
                <c:pt idx="932">
                  <c:v>-5.0439388123726738</c:v>
                </c:pt>
                <c:pt idx="933">
                  <c:v>-5.054373956398722</c:v>
                </c:pt>
                <c:pt idx="934">
                  <c:v>-5.0648091065652583</c:v>
                </c:pt>
                <c:pt idx="935">
                  <c:v>-5.0752442628720837</c:v>
                </c:pt>
                <c:pt idx="936">
                  <c:v>-5.0856794253189976</c:v>
                </c:pt>
                <c:pt idx="937">
                  <c:v>-5.0961145939058001</c:v>
                </c:pt>
                <c:pt idx="938">
                  <c:v>-5.1065497686322914</c:v>
                </c:pt>
                <c:pt idx="939">
                  <c:v>-5.1169849494982715</c:v>
                </c:pt>
                <c:pt idx="940">
                  <c:v>-5.1274201365035408</c:v>
                </c:pt>
                <c:pt idx="941">
                  <c:v>-5.1378553296478993</c:v>
                </c:pt>
                <c:pt idx="942">
                  <c:v>-5.1482905289311471</c:v>
                </c:pt>
                <c:pt idx="943">
                  <c:v>-5.1587257343530846</c:v>
                </c:pt>
                <c:pt idx="944">
                  <c:v>-5.1691609459135117</c:v>
                </c:pt>
                <c:pt idx="945">
                  <c:v>-5.1795961636122287</c:v>
                </c:pt>
                <c:pt idx="946">
                  <c:v>-5.1900313874490358</c:v>
                </c:pt>
                <c:pt idx="947">
                  <c:v>-5.2004666174237331</c:v>
                </c:pt>
                <c:pt idx="948">
                  <c:v>-5.2109018535361207</c:v>
                </c:pt>
                <c:pt idx="949">
                  <c:v>-5.2213370957859997</c:v>
                </c:pt>
                <c:pt idx="950">
                  <c:v>-5.2317723441731694</c:v>
                </c:pt>
                <c:pt idx="951">
                  <c:v>-5.2422075986974299</c:v>
                </c:pt>
                <c:pt idx="952">
                  <c:v>-5.2526428593585814</c:v>
                </c:pt>
                <c:pt idx="953">
                  <c:v>-5.2630781261564241</c:v>
                </c:pt>
                <c:pt idx="954">
                  <c:v>-5.2735133990907581</c:v>
                </c:pt>
                <c:pt idx="955">
                  <c:v>-5.2839486781613836</c:v>
                </c:pt>
                <c:pt idx="956">
                  <c:v>-5.2943839633681007</c:v>
                </c:pt>
                <c:pt idx="957">
                  <c:v>-5.3048192547107096</c:v>
                </c:pt>
                <c:pt idx="958">
                  <c:v>-5.3152545521890113</c:v>
                </c:pt>
                <c:pt idx="959">
                  <c:v>-5.3256898558028052</c:v>
                </c:pt>
                <c:pt idx="960">
                  <c:v>-5.3361251655518913</c:v>
                </c:pt>
                <c:pt idx="961">
                  <c:v>-5.3465604814360708</c:v>
                </c:pt>
                <c:pt idx="962">
                  <c:v>-5.3569958034551428</c:v>
                </c:pt>
                <c:pt idx="963">
                  <c:v>-5.3674311316089085</c:v>
                </c:pt>
                <c:pt idx="964">
                  <c:v>-5.3778664658971671</c:v>
                </c:pt>
                <c:pt idx="965">
                  <c:v>-5.3883018063197197</c:v>
                </c:pt>
                <c:pt idx="966">
                  <c:v>-5.3987371528763655</c:v>
                </c:pt>
                <c:pt idx="967">
                  <c:v>-5.4091725055669055</c:v>
                </c:pt>
                <c:pt idx="968">
                  <c:v>-5.4196078643911401</c:v>
                </c:pt>
                <c:pt idx="969">
                  <c:v>-5.4300432293488692</c:v>
                </c:pt>
                <c:pt idx="970">
                  <c:v>-5.4404786004398931</c:v>
                </c:pt>
                <c:pt idx="971">
                  <c:v>-5.4509139776640119</c:v>
                </c:pt>
                <c:pt idx="972">
                  <c:v>-5.4613493610210258</c:v>
                </c:pt>
                <c:pt idx="973">
                  <c:v>-5.4717847505107349</c:v>
                </c:pt>
                <c:pt idx="974">
                  <c:v>-5.4822201461329403</c:v>
                </c:pt>
                <c:pt idx="975">
                  <c:v>-5.4926555478874413</c:v>
                </c:pt>
                <c:pt idx="976">
                  <c:v>-5.5030909557740388</c:v>
                </c:pt>
                <c:pt idx="977">
                  <c:v>-5.5135263697925323</c:v>
                </c:pt>
                <c:pt idx="978">
                  <c:v>-5.5239617899427227</c:v>
                </c:pt>
                <c:pt idx="979">
                  <c:v>-5.5343972162244102</c:v>
                </c:pt>
                <c:pt idx="980">
                  <c:v>-5.5448326486373949</c:v>
                </c:pt>
                <c:pt idx="981">
                  <c:v>-5.555268087181477</c:v>
                </c:pt>
                <c:pt idx="982">
                  <c:v>-5.5657035318564567</c:v>
                </c:pt>
                <c:pt idx="983">
                  <c:v>-5.5761389826621341</c:v>
                </c:pt>
                <c:pt idx="984">
                  <c:v>-5.5865744395983103</c:v>
                </c:pt>
                <c:pt idx="985">
                  <c:v>-5.5970099026647846</c:v>
                </c:pt>
                <c:pt idx="986">
                  <c:v>-5.6074453718613579</c:v>
                </c:pt>
                <c:pt idx="987">
                  <c:v>-5.6178808471878305</c:v>
                </c:pt>
                <c:pt idx="988">
                  <c:v>-5.6283163286440026</c:v>
                </c:pt>
                <c:pt idx="989">
                  <c:v>-5.6387518162296741</c:v>
                </c:pt>
                <c:pt idx="990">
                  <c:v>-5.6491873099446455</c:v>
                </c:pt>
                <c:pt idx="991">
                  <c:v>-5.6596228097887176</c:v>
                </c:pt>
                <c:pt idx="992">
                  <c:v>-5.6700583157616897</c:v>
                </c:pt>
                <c:pt idx="993">
                  <c:v>-5.680493827863363</c:v>
                </c:pt>
                <c:pt idx="994">
                  <c:v>-5.6909293460935375</c:v>
                </c:pt>
                <c:pt idx="995">
                  <c:v>-5.7013648704520135</c:v>
                </c:pt>
                <c:pt idx="996">
                  <c:v>-5.711800400938591</c:v>
                </c:pt>
                <c:pt idx="997">
                  <c:v>-5.7222359375530711</c:v>
                </c:pt>
                <c:pt idx="998">
                  <c:v>-5.7326714802952532</c:v>
                </c:pt>
                <c:pt idx="999">
                  <c:v>-5.7431070291649382</c:v>
                </c:pt>
                <c:pt idx="1000">
                  <c:v>-5.7535425841619263</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Pandora (Pro24-6G BS)</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0.02</c:v>
                </c:pt>
                <c:pt idx="2">
                  <c:v>0.04</c:v>
                </c:pt>
                <c:pt idx="3">
                  <c:v>0.62</c:v>
                </c:pt>
                <c:pt idx="4">
                  <c:v>0.66</c:v>
                </c:pt>
                <c:pt idx="5">
                  <c:v>0.68</c:v>
                </c:pt>
                <c:pt idx="6">
                  <c:v>0.8</c:v>
                </c:pt>
                <c:pt idx="7">
                  <c:v>0.84</c:v>
                </c:pt>
                <c:pt idx="8">
                  <c:v>0.88</c:v>
                </c:pt>
                <c:pt idx="9">
                  <c:v>0.92</c:v>
                </c:pt>
                <c:pt idx="10">
                  <c:v>0.96</c:v>
                </c:pt>
                <c:pt idx="11">
                  <c:v>1</c:v>
                </c:pt>
                <c:pt idx="12">
                  <c:v>1.08</c:v>
                </c:pt>
                <c:pt idx="13">
                  <c:v>2</c:v>
                </c:pt>
                <c:pt idx="14">
                  <c:v>2</c:v>
                </c:pt>
                <c:pt idx="15">
                  <c:v>2</c:v>
                </c:pt>
                <c:pt idx="16">
                  <c:v>2</c:v>
                </c:pt>
                <c:pt idx="17">
                  <c:v>2</c:v>
                </c:pt>
                <c:pt idx="18">
                  <c:v>2</c:v>
                </c:pt>
                <c:pt idx="19">
                  <c:v>2</c:v>
                </c:pt>
                <c:pt idx="20">
                  <c:v>2</c:v>
                </c:pt>
                <c:pt idx="21">
                  <c:v>2</c:v>
                </c:pt>
                <c:pt idx="22">
                  <c:v>2</c:v>
                </c:pt>
              </c:numCache>
            </c:numRef>
          </c:xVal>
          <c:yVal>
            <c:numRef>
              <c:f>Propu!$B$4:$X$4</c:f>
              <c:numCache>
                <c:formatCode>General</c:formatCode>
                <c:ptCount val="23"/>
                <c:pt idx="0">
                  <c:v>0</c:v>
                </c:pt>
                <c:pt idx="1">
                  <c:v>250</c:v>
                </c:pt>
                <c:pt idx="2">
                  <c:v>210</c:v>
                </c:pt>
                <c:pt idx="3">
                  <c:v>160</c:v>
                </c:pt>
                <c:pt idx="4">
                  <c:v>150</c:v>
                </c:pt>
                <c:pt idx="5">
                  <c:v>142</c:v>
                </c:pt>
                <c:pt idx="6">
                  <c:v>62</c:v>
                </c:pt>
                <c:pt idx="7">
                  <c:v>48</c:v>
                </c:pt>
                <c:pt idx="8">
                  <c:v>34</c:v>
                </c:pt>
                <c:pt idx="9">
                  <c:v>24</c:v>
                </c:pt>
                <c:pt idx="10">
                  <c:v>15</c:v>
                </c:pt>
                <c:pt idx="11">
                  <c:v>10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42 mm</c:v>
                </c:pt>
              </c:strCache>
            </c:strRef>
          </c:tx>
          <c:xVal>
            <c:numRef>
              <c:f>Abaco!$D$43:$D$51</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Abaco!$K$43:$K$51</c:f>
              <c:numCache>
                <c:formatCode>General" m/s"</c:formatCode>
                <c:ptCount val="9"/>
                <c:pt idx="0">
                  <c:v>369.32332981562001</c:v>
                </c:pt>
                <c:pt idx="1">
                  <c:v>140.48938293512452</c:v>
                </c:pt>
                <c:pt idx="2">
                  <c:v>70.054948639462992</c:v>
                </c:pt>
                <c:pt idx="3">
                  <c:v>42.224801783061984</c:v>
                </c:pt>
                <c:pt idx="4">
                  <c:v>27.505571782682907</c:v>
                </c:pt>
                <c:pt idx="5">
                  <c:v>18.42605942543565</c:v>
                </c:pt>
                <c:pt idx="6">
                  <c:v>12.272853864102277</c:v>
                </c:pt>
                <c:pt idx="7">
                  <c:v>7.8298023906125271</c:v>
                </c:pt>
                <c:pt idx="8">
                  <c:v>4.4718135547184463</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84 mm</c:v>
                </c:pt>
              </c:strCache>
            </c:strRef>
          </c:tx>
          <c:xVal>
            <c:numRef>
              <c:f>Abaco!$D$52:$D$60</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Abaco!$K$52:$K$60</c:f>
              <c:numCache>
                <c:formatCode>General" m/s"</c:formatCode>
                <c:ptCount val="9"/>
                <c:pt idx="0">
                  <c:v>185.42201346176171</c:v>
                </c:pt>
                <c:pt idx="1">
                  <c:v>121.14194817251041</c:v>
                </c:pt>
                <c:pt idx="2">
                  <c:v>67.053454726460672</c:v>
                </c:pt>
                <c:pt idx="3">
                  <c:v>41.452469414368096</c:v>
                </c:pt>
                <c:pt idx="4">
                  <c:v>27.253350621353079</c:v>
                </c:pt>
                <c:pt idx="5">
                  <c:v>18.334252654095604</c:v>
                </c:pt>
                <c:pt idx="6">
                  <c:v>12.238627074344944</c:v>
                </c:pt>
                <c:pt idx="7">
                  <c:v>7.8177947107465267</c:v>
                </c:pt>
                <c:pt idx="8">
                  <c:v>4.4683727850120132</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126 mm</c:v>
                </c:pt>
              </c:strCache>
            </c:strRef>
          </c:tx>
          <c:xVal>
            <c:numRef>
              <c:f>Abaco!$D$61:$D$69</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Abaco!$K$61:$K$69</c:f>
              <c:numCache>
                <c:formatCode>General" m/s"</c:formatCode>
                <c:ptCount val="9"/>
                <c:pt idx="0">
                  <c:v>123.6157213781817</c:v>
                </c:pt>
                <c:pt idx="1">
                  <c:v>100.03777503089147</c:v>
                </c:pt>
                <c:pt idx="2">
                  <c:v>62.682691412456151</c:v>
                </c:pt>
                <c:pt idx="3">
                  <c:v>40.237932319254028</c:v>
                </c:pt>
                <c:pt idx="4">
                  <c:v>26.845094927800176</c:v>
                </c:pt>
                <c:pt idx="5">
                  <c:v>18.183656881730904</c:v>
                </c:pt>
                <c:pt idx="6">
                  <c:v>12.182088680408246</c:v>
                </c:pt>
                <c:pt idx="7">
                  <c:v>7.7978798230123756</c:v>
                </c:pt>
                <c:pt idx="8">
                  <c:v>4.4626522668650477</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42 mm</c:v>
                </c:pt>
              </c:strCache>
            </c:strRef>
          </c:tx>
          <c:xVal>
            <c:numRef>
              <c:f>Abaco!$D$43:$D$51</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Abaco!$L$43:$L$51</c:f>
              <c:numCache>
                <c:formatCode>General" m"</c:formatCode>
                <c:ptCount val="9"/>
                <c:pt idx="0">
                  <c:v>943.72596711044525</c:v>
                </c:pt>
                <c:pt idx="1">
                  <c:v>794.26192802243168</c:v>
                </c:pt>
                <c:pt idx="2">
                  <c:v>301.98077245487542</c:v>
                </c:pt>
                <c:pt idx="3">
                  <c:v>131.41574181078286</c:v>
                </c:pt>
                <c:pt idx="4">
                  <c:v>65.856758964896528</c:v>
                </c:pt>
                <c:pt idx="5">
                  <c:v>35.705203848174058</c:v>
                </c:pt>
                <c:pt idx="6">
                  <c:v>19.948821422541236</c:v>
                </c:pt>
                <c:pt idx="7">
                  <c:v>10.955502214865072</c:v>
                </c:pt>
                <c:pt idx="8">
                  <c:v>5.4915186595692944</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84 mm</c:v>
                </c:pt>
              </c:strCache>
            </c:strRef>
          </c:tx>
          <c:xVal>
            <c:numRef>
              <c:f>Abaco!$D$52:$D$60</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Abaco!$L$52:$L$60</c:f>
              <c:numCache>
                <c:formatCode>General" m"</c:formatCode>
                <c:ptCount val="9"/>
                <c:pt idx="0">
                  <c:v>421.40012018928473</c:v>
                </c:pt>
                <c:pt idx="1">
                  <c:v>443.76570017621498</c:v>
                </c:pt>
                <c:pt idx="2">
                  <c:v>247.99090976713791</c:v>
                </c:pt>
                <c:pt idx="3">
                  <c:v>123.27316388386774</c:v>
                </c:pt>
                <c:pt idx="4">
                  <c:v>64.330709628606471</c:v>
                </c:pt>
                <c:pt idx="5">
                  <c:v>35.368743751491778</c:v>
                </c:pt>
                <c:pt idx="6">
                  <c:v>19.868998544218961</c:v>
                </c:pt>
                <c:pt idx="7">
                  <c:v>10.937049758837574</c:v>
                </c:pt>
                <c:pt idx="8">
                  <c:v>5.4879606973191937</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126 mm</c:v>
                </c:pt>
              </c:strCache>
            </c:strRef>
          </c:tx>
          <c:xVal>
            <c:numRef>
              <c:f>Abaco!$D$61:$D$69</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Abaco!$L$61:$L$69</c:f>
              <c:numCache>
                <c:formatCode>General" m"</c:formatCode>
                <c:ptCount val="9"/>
                <c:pt idx="0">
                  <c:v>269.6994657695717</c:v>
                </c:pt>
                <c:pt idx="1">
                  <c:v>289.25805498598902</c:v>
                </c:pt>
                <c:pt idx="2">
                  <c:v>198.3338345304322</c:v>
                </c:pt>
                <c:pt idx="3">
                  <c:v>112.50497695616369</c:v>
                </c:pt>
                <c:pt idx="4">
                  <c:v>62.013813727607108</c:v>
                </c:pt>
                <c:pt idx="5">
                  <c:v>34.829964553820496</c:v>
                </c:pt>
                <c:pt idx="6">
                  <c:v>19.738296750713538</c:v>
                </c:pt>
                <c:pt idx="7">
                  <c:v>10.906531829103487</c:v>
                </c:pt>
                <c:pt idx="8">
                  <c:v>5.4820486425134689</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42 mm</c:v>
                </c:pt>
              </c:strCache>
            </c:strRef>
          </c:tx>
          <c:xVal>
            <c:numRef>
              <c:f>Abaco!$D$43:$D$51</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Abaco!$M$43:$M$51</c:f>
              <c:numCache>
                <c:formatCode>General" s"</c:formatCode>
                <c:ptCount val="9"/>
                <c:pt idx="0">
                  <c:v>8.0066772056142064</c:v>
                </c:pt>
                <c:pt idx="1">
                  <c:v>12.742249634307495</c:v>
                </c:pt>
                <c:pt idx="2">
                  <c:v>8.7806895651265435</c:v>
                </c:pt>
                <c:pt idx="3">
                  <c:v>6.2468066617056053</c:v>
                </c:pt>
                <c:pt idx="4">
                  <c:v>4.7916086128567281</c:v>
                </c:pt>
                <c:pt idx="5">
                  <c:v>3.8753226277746182</c:v>
                </c:pt>
                <c:pt idx="6">
                  <c:v>3.2503197859446455</c:v>
                </c:pt>
                <c:pt idx="7">
                  <c:v>2.7979806989267115</c:v>
                </c:pt>
                <c:pt idx="8">
                  <c:v>2.4558155170464664</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84 mm</c:v>
                </c:pt>
              </c:strCache>
            </c:strRef>
          </c:tx>
          <c:xVal>
            <c:numRef>
              <c:f>Abaco!$D$52:$D$60</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Abaco!$M$52:$M$60</c:f>
              <c:numCache>
                <c:formatCode>General" s"</c:formatCode>
                <c:ptCount val="9"/>
                <c:pt idx="0">
                  <c:v>5.004247001248757</c:v>
                </c:pt>
                <c:pt idx="1">
                  <c:v>8.9652035667155872</c:v>
                </c:pt>
                <c:pt idx="2">
                  <c:v>7.8036728355384275</c:v>
                </c:pt>
                <c:pt idx="3">
                  <c:v>6.0217789608564409</c:v>
                </c:pt>
                <c:pt idx="4">
                  <c:v>4.7316264864420692</c:v>
                </c:pt>
                <c:pt idx="5">
                  <c:v>3.8573257894267909</c:v>
                </c:pt>
                <c:pt idx="6">
                  <c:v>3.244657564773461</c:v>
                </c:pt>
                <c:pt idx="7">
                  <c:v>2.7962675314290095</c:v>
                </c:pt>
                <c:pt idx="8">
                  <c:v>2.4553845278215909</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126 mm</c:v>
                </c:pt>
              </c:strCache>
            </c:strRef>
          </c:tx>
          <c:xVal>
            <c:numRef>
              <c:f>Abaco!$D$61:$D$69</c:f>
              <c:numCache>
                <c:formatCode>General\ "kg"</c:formatCode>
                <c:ptCount val="9"/>
                <c:pt idx="0">
                  <c:v>0.15989999999999999</c:v>
                </c:pt>
                <c:pt idx="1">
                  <c:v>0.88365000000000005</c:v>
                </c:pt>
                <c:pt idx="2">
                  <c:v>1.6073999999999999</c:v>
                </c:pt>
                <c:pt idx="3">
                  <c:v>2.3311500000000001</c:v>
                </c:pt>
                <c:pt idx="4">
                  <c:v>3.0548999999999999</c:v>
                </c:pt>
                <c:pt idx="5">
                  <c:v>3.7786499999999998</c:v>
                </c:pt>
                <c:pt idx="6">
                  <c:v>4.5024000000000006</c:v>
                </c:pt>
                <c:pt idx="7">
                  <c:v>5.2261500000000005</c:v>
                </c:pt>
                <c:pt idx="8">
                  <c:v>5.9499000000000004</c:v>
                </c:pt>
              </c:numCache>
            </c:numRef>
          </c:xVal>
          <c:yVal>
            <c:numRef>
              <c:f>Abaco!$M$61:$M$69</c:f>
              <c:numCache>
                <c:formatCode>General" s"</c:formatCode>
                <c:ptCount val="9"/>
                <c:pt idx="0">
                  <c:v>4.0028325784479488</c:v>
                </c:pt>
                <c:pt idx="1">
                  <c:v>6.9892374392497816</c:v>
                </c:pt>
                <c:pt idx="2">
                  <c:v>6.8481811158933992</c:v>
                </c:pt>
                <c:pt idx="3">
                  <c:v>5.7179538076680743</c:v>
                </c:pt>
                <c:pt idx="4">
                  <c:v>4.6399069772597787</c:v>
                </c:pt>
                <c:pt idx="5">
                  <c:v>3.8284401368383616</c:v>
                </c:pt>
                <c:pt idx="6">
                  <c:v>3.2353814248818766</c:v>
                </c:pt>
                <c:pt idx="7">
                  <c:v>2.7934345408998817</c:v>
                </c:pt>
                <c:pt idx="8">
                  <c:v>2.4546685827453394</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2895"/>
</file>

<file path=xl/ctrlProps/ctrlProp3.xml><?xml version="1.0" encoding="utf-8"?>
<formControlPr xmlns="http://schemas.microsoft.com/office/spreadsheetml/2009/9/main" objectType="Spin" dx="15" fmlaLink="$C$13" inc="50" max="30000" noThreeD="1" page="10" val="530"/>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7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20"/>
</file>

<file path=xl/ctrlProps/ctrlProp8.xml><?xml version="1.0" encoding="utf-8"?>
<formControlPr xmlns="http://schemas.microsoft.com/office/spreadsheetml/2009/9/main" objectType="Spin" dx="15" fmlaLink="$C$31" inc="10" max="30000" noThreeD="1" page="10" val="107"/>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992"/>
</file>

<file path=xl/ctrlProps/ctrlProp12.xml><?xml version="1.0" encoding="utf-8"?>
<formControlPr xmlns="http://schemas.microsoft.com/office/spreadsheetml/2009/9/main" objectType="Spin" dx="15" fmlaLink="$C$12" inc="100" max="30000" noThreeD="1" page="10" val="2895"/>
</file>

<file path=xl/ctrlProps/ctrlProp13.xml><?xml version="1.0" encoding="utf-8"?>
<formControlPr xmlns="http://schemas.microsoft.com/office/spreadsheetml/2009/9/main" objectType="Spin" dx="15" fmlaLink="$C$12" inc="100" max="30000" noThreeD="1" page="10" val="2895"/>
</file>

<file path=xl/ctrlProps/ctrlProp14.xml><?xml version="1.0" encoding="utf-8"?>
<formControlPr xmlns="http://schemas.microsoft.com/office/spreadsheetml/2009/9/main" objectType="Spin" dx="15" fmlaLink="Stabilito!C12" inc="100" max="30000" noThreeD="1" page="10" val="2895"/>
</file>

<file path=xl/ctrlProps/ctrlProp15.xml><?xml version="1.0" encoding="utf-8"?>
<formControlPr xmlns="http://schemas.microsoft.com/office/spreadsheetml/2009/9/main" objectType="Spin" dx="15" fmlaLink="$B$44" inc="50" max="30000" noThreeD="1" page="10" val="250"/>
</file>

<file path=xl/ctrlProps/ctrlProp16.xml><?xml version="1.0" encoding="utf-8"?>
<formControlPr xmlns="http://schemas.microsoft.com/office/spreadsheetml/2009/9/main" objectType="Spin" dx="15" fmlaLink="$B$46" inc="50" max="30000" noThreeD="1" page="10" val="25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2895"/>
</file>

<file path=xl/ctrlProps/ctrlProp20.xml><?xml version="1.0" encoding="utf-8"?>
<formControlPr xmlns="http://schemas.microsoft.com/office/spreadsheetml/2009/9/main" objectType="Spin" dx="15" fmlaLink="Stabilito!C12" inc="100" max="30000" noThreeD="1" page="10" val="2895"/>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zoomScale="115" zoomScaleNormal="115" zoomScaleSheetLayoutView="100" workbookViewId="0">
      <selection activeCell="S34" sqref="S34"/>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570</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0</v>
      </c>
      <c r="N6" s="565"/>
      <c r="O6" s="550">
        <v>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v>0</v>
      </c>
      <c r="N7" s="565"/>
      <c r="O7" s="550">
        <v>0</v>
      </c>
      <c r="P7" s="550"/>
      <c r="Q7" s="29"/>
    </row>
    <row r="8" spans="1:20" ht="12.75" customHeight="1" thickTop="1" x14ac:dyDescent="0.2">
      <c r="A8" s="25"/>
      <c r="B8" s="138" t="str">
        <f>IF(Lang="Français","Nom",IF(Lang="English","Name",""))</f>
        <v>Nom</v>
      </c>
      <c r="C8" s="594" t="s">
        <v>571</v>
      </c>
      <c r="D8" s="594"/>
      <c r="E8" s="90"/>
      <c r="K8" s="33"/>
      <c r="L8" s="139" t="str">
        <f>IF(Lang="Français","Diamètre     'D2'",IF(Lang="English","Diameter 'D2'",""))</f>
        <v>Diamètre     'D2'</v>
      </c>
      <c r="M8" s="564">
        <v>0</v>
      </c>
      <c r="N8" s="565"/>
      <c r="O8" s="550">
        <v>0</v>
      </c>
      <c r="P8" s="550"/>
      <c r="Q8" s="29"/>
    </row>
    <row r="9" spans="1:20" ht="12.75" customHeight="1" x14ac:dyDescent="0.2">
      <c r="A9" s="25"/>
      <c r="B9" s="138" t="s">
        <v>4</v>
      </c>
      <c r="C9" s="595" t="s">
        <v>568</v>
      </c>
      <c r="D9" s="595"/>
      <c r="E9" s="90"/>
      <c r="K9" s="33"/>
      <c r="L9" s="139" t="str">
        <f>IF(Lang="Français","Implantation 'x'",IF(Lang="English","Basement 'x'",""))</f>
        <v>Implantation 'x'</v>
      </c>
      <c r="M9" s="564">
        <v>0</v>
      </c>
      <c r="N9" s="565"/>
      <c r="O9" s="550">
        <v>0</v>
      </c>
      <c r="P9" s="550"/>
      <c r="Q9" s="29"/>
    </row>
    <row r="10" spans="1:20" ht="12.75" customHeight="1" x14ac:dyDescent="0.2">
      <c r="A10" s="25"/>
      <c r="B10" s="138" t="s">
        <v>563</v>
      </c>
      <c r="C10" s="537" t="str">
        <f>IF((LEFT(Type_fusee,4)="Mini"),"MF",(IF((RIGHT(Type_fusee,1)="."),"FX","")))</f>
        <v/>
      </c>
      <c r="D10" s="538">
        <v>0</v>
      </c>
      <c r="E10" s="539" t="str">
        <f>IF(C10="","",C10&amp;D10)</f>
        <v/>
      </c>
      <c r="K10" s="33"/>
      <c r="Q10" s="29"/>
    </row>
    <row r="11" spans="1:20" ht="12.75" customHeight="1" x14ac:dyDescent="0.2">
      <c r="A11" s="25"/>
      <c r="B11" s="139" t="s">
        <v>54</v>
      </c>
      <c r="C11" s="573" t="s">
        <v>398</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2895</v>
      </c>
      <c r="D12" s="34" t="s">
        <v>423</v>
      </c>
      <c r="L12" s="108" t="str">
        <f>IF(Lang="Français","Masse propu",IF(Lang="English","Motor Mass",""))</f>
        <v>Masse propu</v>
      </c>
      <c r="M12" s="109">
        <f ca="1">MpropuPlein</f>
        <v>0.15989999999999999</v>
      </c>
      <c r="N12" s="548">
        <f ca="1">MpropuVide</f>
        <v>8.43E-2</v>
      </c>
      <c r="O12" s="549"/>
      <c r="P12" s="110" t="s">
        <v>14</v>
      </c>
      <c r="Q12" s="29"/>
      <c r="S12" s="386" t="str">
        <f>IF(Lang="Français","Haut",IF(Lang="English","Top",""))</f>
        <v>Haut</v>
      </c>
      <c r="T12" s="387">
        <f ca="1">XpropuRef-Long_propu</f>
        <v>714</v>
      </c>
    </row>
    <row r="13" spans="1:20" ht="12.75" customHeight="1" x14ac:dyDescent="0.2">
      <c r="A13" s="25"/>
      <c r="B13" s="139" t="str">
        <f>IF(Lang="Français","Centre de Masse",IF(Lang="English","Center of Mass",""))</f>
        <v>Centre de Masse</v>
      </c>
      <c r="C13" s="35">
        <v>530</v>
      </c>
      <c r="D13" s="34" t="s">
        <v>423</v>
      </c>
      <c r="L13" s="108" t="str">
        <f>IF(Lang="Français","CdM propu",IF(Lang="English","Motor CoM",""))</f>
        <v>CdM propu</v>
      </c>
      <c r="M13" s="111">
        <f ca="1">XpropuPlein</f>
        <v>114</v>
      </c>
      <c r="N13" s="546">
        <f ca="1">XpropuVide</f>
        <v>114</v>
      </c>
      <c r="O13" s="547"/>
      <c r="P13" s="110" t="s">
        <v>14</v>
      </c>
      <c r="Q13" s="29"/>
      <c r="S13" s="386" t="str">
        <f>IF(Lang="Français","Longueur",IF(Lang="English","Length",""))</f>
        <v>Longueur</v>
      </c>
      <c r="T13" s="387">
        <f ca="1">Long_propu</f>
        <v>228</v>
      </c>
    </row>
    <row r="14" spans="1:20" ht="12.6" customHeight="1" x14ac:dyDescent="0.2">
      <c r="A14" s="25"/>
      <c r="B14" s="139" t="str">
        <f>IF(Lang="Français","Longueur totale",IF(Lang="English","Total length",""))</f>
        <v>Longueur totale</v>
      </c>
      <c r="C14" s="564">
        <v>992</v>
      </c>
      <c r="D14" s="565"/>
      <c r="L14" s="108" t="str">
        <f>IF(Lang="Français","Masse fusée",IF(Lang="English","Rocket Mass",""))</f>
        <v>Masse fusée</v>
      </c>
      <c r="M14" s="112">
        <f ca="1">MasseSans+MpropuPlein</f>
        <v>3.0548999999999999</v>
      </c>
      <c r="N14" s="577">
        <f ca="1">MasseSans+MpropuVide</f>
        <v>2.9792999999999998</v>
      </c>
      <c r="O14" s="578"/>
      <c r="P14" s="109">
        <f>IF(OR(D12="sans propu",D12="without motor"),C12/1000,IF(OR(D12="avec propu vide",D12="with empty motor"),C12/1000-MpropuVide,IF(OR(D12="avec propu plein",D12="with loaded motor"),C12/1000-MpropuPlein,"Erreur")))</f>
        <v>2.895</v>
      </c>
      <c r="Q14" s="29"/>
      <c r="S14" s="386" t="str">
        <f>IF(Lang="Français","Bas",IF(Lang="English","Base",""))</f>
        <v>Bas</v>
      </c>
      <c r="T14" s="387">
        <f>XpropuRef</f>
        <v>942</v>
      </c>
    </row>
    <row r="15" spans="1:20" ht="12.75" customHeight="1" x14ac:dyDescent="0.2">
      <c r="A15" s="25"/>
      <c r="B15" s="139" t="str">
        <f>IF(Lang="Français","Diamètre Réf.",IF(Lang="English","Ref. Diameter",""))</f>
        <v>Diamètre Réf.</v>
      </c>
      <c r="C15" s="564">
        <v>84</v>
      </c>
      <c r="D15" s="565"/>
      <c r="L15" s="175" t="str">
        <f>IF(Lang="Français","CdM fusée",IF(Lang="English","Rocket CoM",""))</f>
        <v>CdM fusée</v>
      </c>
      <c r="M15" s="176">
        <f ca="1">(XcgSans*MasseSans+(XpropuRef-Long_propu+XpropuPlein)*MpropuPlein)/MassePlein</f>
        <v>545.59795737994693</v>
      </c>
      <c r="N15" s="579">
        <f ca="1">(XcgSans*MasseSans+(XpropuRef-Long_propu+XpropuVide)*MpropuVide)/MasseVide</f>
        <v>538.43198066659954</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530</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772</v>
      </c>
    </row>
    <row r="18" spans="1:22" ht="12.75" customHeight="1" thickTop="1" x14ac:dyDescent="0.2">
      <c r="A18" s="25"/>
      <c r="B18" s="139" t="s">
        <v>54</v>
      </c>
      <c r="C18" s="587" t="s">
        <v>548</v>
      </c>
      <c r="D18" s="588"/>
      <c r="K18" s="37"/>
      <c r="L18" s="108" t="str">
        <f>IF(Lang="Français","Coiffe",IF(Lang="English","Nose Cone",""))</f>
        <v>Coiffe</v>
      </c>
      <c r="M18" s="553">
        <f>IF(LEFT(Forme_ogive,5)="Parab",1/2*Long_ogive,IF(LEFT(Forme_ogive,4)="Ogiv",7/15*Long_ogive,IF(LEFT(Forme_ogive,3)="Con",2/3*Long_ogive)))</f>
        <v>168</v>
      </c>
      <c r="N18" s="554"/>
      <c r="O18" s="560">
        <f>2*POWER(D_og/D_ref, 2)</f>
        <v>2</v>
      </c>
      <c r="P18" s="560"/>
      <c r="Q18" s="29"/>
      <c r="S18" s="386" t="str">
        <f>IF(Lang="Français","Emplanture","Root edge")</f>
        <v>Emplanture</v>
      </c>
      <c r="T18" s="387">
        <f>m_ail</f>
        <v>170</v>
      </c>
    </row>
    <row r="19" spans="1:22" ht="12.75" customHeight="1" x14ac:dyDescent="0.2">
      <c r="A19" s="25"/>
      <c r="B19" s="139" t="str">
        <f>IF(Lang="Français","Position du bas",IF(Lang="English","Basement",""))</f>
        <v>Position du bas</v>
      </c>
      <c r="C19" s="550">
        <v>942</v>
      </c>
      <c r="D19" s="550"/>
      <c r="L19" s="108" t="str">
        <f>IF(Lang="Français","Ailerons",IF(Lang="English","Fins",""))</f>
        <v>Ailerons</v>
      </c>
      <c r="M19" s="553">
        <f>(XCpa*Cnail-0.5*XCpi*Cni)/Cnai</f>
        <v>857.4</v>
      </c>
      <c r="N19" s="554"/>
      <c r="O19" s="589">
        <f>Cnail-Cni/2</f>
        <v>13.602161052846441</v>
      </c>
      <c r="P19" s="590"/>
      <c r="Q19" s="29"/>
      <c r="S19" s="386" t="str">
        <f>IF(Lang="Français","Bas","Base")</f>
        <v>Bas</v>
      </c>
      <c r="T19" s="387">
        <f>X_ail</f>
        <v>942</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857.4</v>
      </c>
      <c r="N20" s="554"/>
      <c r="O20" s="560">
        <f>4*Q_ail*POWER((E_ail/D_ref),2)*(1+D_ail/(2*E_ail+D_ail))/(1+SQRT(1+POWER(2*f_ail/(m_ail+n_ail),2)))</f>
        <v>13.602161052846441</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0</v>
      </c>
      <c r="N21" s="554"/>
      <c r="O21" s="560">
        <f>IF(LEFT(Type_masquage,1)="M",0, 4*Q_can*POWER((E_can/D_ref),2)*(1+D_can/(2*E_can+D_can))/(1+SQRT(1+POWER(2*f_can/(m_can+n_can),2))))</f>
        <v>0</v>
      </c>
      <c r="P21" s="560"/>
      <c r="Q21" s="29"/>
    </row>
    <row r="22" spans="1:22" ht="12.75" customHeight="1" thickTop="1" x14ac:dyDescent="0.2">
      <c r="A22" s="25"/>
      <c r="B22" s="139" t="str">
        <f>IF(Lang="Français","Forme",IF(Lang="English","Shape",""))</f>
        <v>Forme</v>
      </c>
      <c r="C22" s="566" t="s">
        <v>569</v>
      </c>
      <c r="D22" s="567"/>
      <c r="L22" s="108" t="str">
        <f>IF(Lang="Français","Partie masquée",IF(Lang="English","Interation zone",""))</f>
        <v>Partie masquée</v>
      </c>
      <c r="M22" s="570">
        <f>IF(LEFT(Type_masquage,1)="B", X_int-m_int+p_int*(m_int+2*n_int)/(3*(m_int+n_int))+(m_int+n_int-m_int*n_int/(m_int+n_int))/6, 0 )</f>
        <v>0</v>
      </c>
      <c r="N22" s="570"/>
      <c r="O22" s="589">
        <f>IF(LEFT(Type_masquage,1)="B", 4*Q_int*POWER((E_int/D_ref),2)*(1+D_int/(2*E_int+D_int))/(1+SQRT(1+POWER(2*f_int/(m_int+n_int),2))), 0 )</f>
        <v>0</v>
      </c>
      <c r="P22" s="590"/>
      <c r="Q22" s="29"/>
    </row>
    <row r="23" spans="1:22" ht="12.75" customHeight="1" x14ac:dyDescent="0.2">
      <c r="A23" s="25"/>
      <c r="B23" s="139" t="str">
        <f>IF(Lang="Français","Hauteur",IF(Lang="English","Heigth",""))</f>
        <v>Hauteur</v>
      </c>
      <c r="C23" s="564">
        <v>252</v>
      </c>
      <c r="D23" s="565"/>
      <c r="L23" s="108" t="s">
        <v>156</v>
      </c>
      <c r="M23" s="553">
        <f>IF(OR(RIGHT(Nb_diam,1)=",",D2j=0),0, X_j+l_j/3*(1+1/(1+D1j/D2j)) )</f>
        <v>0</v>
      </c>
      <c r="N23" s="554"/>
      <c r="O23" s="560">
        <f>IF(OR(RIGHT(Nb_diam,1)=",",D2j=0),0,2*(POWER(D2j/D_ref,2)-POWER(D1j/D_ref,2)))</f>
        <v>0</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0</v>
      </c>
      <c r="N24" s="554"/>
      <c r="O24" s="560">
        <f>IF( OR(RIGHT(Nb_diam,1)=",",D2r=0), 0, 2*(POWER(D2r/D_ref,2)-POWER(D1r/D_ref,2)) )</f>
        <v>0</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Fusée trop lègère !</v>
      </c>
    </row>
    <row r="26" spans="1:22" ht="12.75" customHeight="1" thickTop="1" thickBot="1" x14ac:dyDescent="0.25">
      <c r="A26" s="25"/>
      <c r="B26" s="30"/>
      <c r="C26" s="178" t="str">
        <f>IF(LEFT(Type_masquage,1)="M",IF(Lang="Français","Ailerons","Fins"),IF(Lang="Français","Ailerons bas","Lower Fins"))</f>
        <v>Ailerons</v>
      </c>
      <c r="D26" s="179" t="str">
        <f>IF(Lang="Français","Ailerons haut",IF(Lang="English","Upper Fins",""))</f>
        <v>Ailerons haut</v>
      </c>
      <c r="F26" s="39">
        <f ca="1">TODAY()</f>
        <v>45991</v>
      </c>
      <c r="G26" s="137" t="s">
        <v>62</v>
      </c>
      <c r="H26" s="584" t="str">
        <f>IF(Lang="Français","Résultats",IF(Lang="English","Results",""))</f>
        <v>Résultats</v>
      </c>
      <c r="I26" s="584"/>
      <c r="J26" s="137" t="s">
        <v>63</v>
      </c>
      <c r="K26" s="32"/>
      <c r="L26" s="38"/>
      <c r="M26" s="38"/>
      <c r="N26" s="38"/>
      <c r="Q26" s="29"/>
      <c r="R26" s="38"/>
      <c r="S26" s="388" t="e">
        <f ca="1">IF(AND(Vsortie_de_rampe&lt;18, OR(LEFT(Type_fusee,1)=",",LEFT(Type_fusee,4)="Mini",LEFT(Type_fusee,1)="R")),IF(Lang="Français","Fusée trop lourde ou rampe trop courte !","Rocket too heavy or launch pad too small!"),"")</f>
        <v>#N/A</v>
      </c>
    </row>
    <row r="27" spans="1:22" ht="12.75" customHeight="1" thickTop="1" x14ac:dyDescent="0.2">
      <c r="A27" s="25"/>
      <c r="B27" s="30"/>
      <c r="C27" s="561" t="s">
        <v>424</v>
      </c>
      <c r="D27" s="562"/>
      <c r="E27" s="146">
        <f>m_ail</f>
        <v>170</v>
      </c>
      <c r="F27" s="105" t="s">
        <v>64</v>
      </c>
      <c r="G27" s="104">
        <f>IF(RIGHT(Type_fusee,1)=".",10, IF(OR(LEFT(Type_fusee,1)="R",LEFT(Type_fusee,1)=",",LEFT(Type_fusee,4)="Mini"),10, IF(LEFT(Type_fusee,5)="Micro",10, IF(RIGHT(Type_fusee,1)=" ",1))))</f>
        <v>10</v>
      </c>
      <c r="H27" s="551">
        <f>Long_tot/D_ref</f>
        <v>11.80952380952381</v>
      </c>
      <c r="I27" s="552"/>
      <c r="J27" s="104">
        <f>IF(RIGHT(Type_fusee,1)=".",35, IF(OR(LEFT(Type_fusee,1)="R",LEFT(Type_fusee,1)=",",LEFT(Type_fusee,4)="Mini"),20, IF(LEFT(Type_fusee,5)="Micro",30, IF(RIGHT(Type_fusee,1)=" ",100))))</f>
        <v>20</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170</v>
      </c>
      <c r="D28" s="177">
        <v>180</v>
      </c>
      <c r="E28" s="146">
        <f>n_ail+(m_ail-n_ail)*(1-E_int/E_ail)</f>
        <v>80</v>
      </c>
      <c r="F28" s="105" t="str">
        <f>IF(Lang="Français","Portance","Lift")</f>
        <v>Portance</v>
      </c>
      <c r="G28" s="104">
        <f>IF(RIGHT(Type_fusee,1)=".",15,IF(OR(LEFT(Type_fusee,1)="R",LEFT(Type_fusee,1)=",",LEFT(Type_fusee,4)="Mini"),15, IF(LEFT(Type_fusee,5)="Micro",15, IF(RIGHT(Type_fusee,1)=" ",15))))</f>
        <v>15</v>
      </c>
      <c r="H28" s="508">
        <f>Cnai+Cnc+Cno+Cnj+Cnr</f>
        <v>15.602161052846441</v>
      </c>
      <c r="I28" s="508">
        <f>Cnail+Cnc+Cno+Cnj+Cnr</f>
        <v>15.602161052846441</v>
      </c>
      <c r="J28" s="104">
        <f>IF(RIGHT(Type_fusee,1)=".",40, IF(OR(LEFT(Type_fusee,1)="R",LEFT(Type_fusee,1)=",",LEFT(Type_fusee,4)="Mini"),30, IF(LEFT(Type_fusee,5)="Micro",30, IF(RIGHT(Type_fusee,1)=" ",30))))</f>
        <v>30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120</v>
      </c>
      <c r="F29" s="515" t="str">
        <f>IF(Lang="Français","MargeStat.","StatMargin")</f>
        <v>MargeStat.</v>
      </c>
      <c r="G29" s="510">
        <f>IF(RIGHT(Type_fusee,1)=".",2, IF(OR(LEFT(Type_fusee,1)="R",LEFT(Type_fusee,1)=",",LEFT(Type_fusee,4)="Mini"),1.5, IF(LEFT(Type_fusee,5)="Micro",1, IF(RIGHT(Type_fusee,1)=" ",1))))</f>
        <v>1.5</v>
      </c>
      <c r="H29" s="97">
        <f ca="1">(XCp-XcgPlein)/D_ref</f>
        <v>2.6598770163626191</v>
      </c>
      <c r="I29" s="98">
        <f ca="1">(XCp0-XcgVide)/D_ref</f>
        <v>2.7451862629500878</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572</v>
      </c>
    </row>
    <row r="30" spans="1:22" ht="12.75" customHeight="1" x14ac:dyDescent="0.2">
      <c r="A30" s="25"/>
      <c r="B30" s="524" t="str">
        <f>IF(Lang="Français"," Flèche          'p'"," Offset         'p'")</f>
        <v xml:space="preserve"> Flèche          'p'</v>
      </c>
      <c r="C30" s="35">
        <v>120</v>
      </c>
      <c r="D30" s="35">
        <v>160</v>
      </c>
      <c r="E30" s="146">
        <f>IF(D_can/2+E_can&lt;=D_ail/2,0, IF(D_can/2+E_can&gt;=D_ail/2+E_ail,E_ail,  D_can/2+E_can - D_ail/2  ) )</f>
        <v>107</v>
      </c>
      <c r="F30" s="516" t="str">
        <f>IF(Lang="Français","Couple","Torque")</f>
        <v>Couple</v>
      </c>
      <c r="G30" s="511">
        <f>IF(RIGHT(Type_fusee,1)=".",40, IF(OR(LEFT(Type_fusee,1)="R",LEFT(Type_fusee,1)=",",LEFT(Type_fusee,4)="Mini"),30, IF(LEFT(Type_fusee,5)="Micro",15, IF(RIGHT(Type_fusee,1)=" ",15))))</f>
        <v>30</v>
      </c>
      <c r="H30" s="99">
        <f ca="1">MS_min*Cn</f>
        <v>41.499829590054247</v>
      </c>
      <c r="I30" s="96">
        <f ca="1">MS_max*Cn0</f>
        <v>42.83083819460893</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
      </c>
      <c r="U30" s="24" t="s">
        <v>573</v>
      </c>
      <c r="V30" s="24" t="s">
        <v>574</v>
      </c>
    </row>
    <row r="31" spans="1:22" ht="12.75" customHeight="1" x14ac:dyDescent="0.2">
      <c r="A31" s="25"/>
      <c r="B31" s="524" t="str">
        <f>IF(Lang="Français"," Envergure     'E'",IF(Lang="English"," Span          'E'",""))</f>
        <v xml:space="preserve"> Envergure     'E'</v>
      </c>
      <c r="C31" s="35">
        <v>107</v>
      </c>
      <c r="D31" s="35">
        <v>110</v>
      </c>
      <c r="E31" s="146">
        <f>ep_ail</f>
        <v>3</v>
      </c>
      <c r="F31" s="106" t="s">
        <v>55</v>
      </c>
      <c r="G31" s="103"/>
      <c r="H31" s="509">
        <f>(Cnai*XCpai+Cnc*XCpc+Cnj*XCpj+Cnr*XCpr+Cno*XCpo)/(Cnai+Cnc+Cnr+Cnj+Cno)</f>
        <v>769.02762675440692</v>
      </c>
      <c r="I31" s="509">
        <f>(Cnail*XCpa+Cnc*XCpc+Cnj*XCpj+Cnr*XCpr+Cno*XCpo)/(Cnail+Cnc+Cnr+Cnj+Cno)</f>
        <v>769.02762675440692</v>
      </c>
      <c r="J31" s="102"/>
      <c r="K31" s="32"/>
      <c r="Q31" s="29"/>
      <c r="R31" s="38"/>
      <c r="S31" s="388"/>
      <c r="U31" s="24">
        <v>2.58</v>
      </c>
      <c r="V31" s="24">
        <v>15.795999999999999</v>
      </c>
    </row>
    <row r="32" spans="1:22" ht="12.75" customHeight="1" x14ac:dyDescent="0.2">
      <c r="A32" s="25"/>
      <c r="B32" s="525" t="str">
        <f>IF(Lang="Français"," Epaisseur     'ep'",IF(Lang="English"," Thickness  'ep'",""))</f>
        <v xml:space="preserve"> Epaisseur     'ep'</v>
      </c>
      <c r="C32" s="35">
        <v>3</v>
      </c>
      <c r="D32" s="35">
        <v>4</v>
      </c>
      <c r="E32" s="146">
        <f>IF(Q_ail=Q_can,Q_ail,FALSE)</f>
        <v>4</v>
      </c>
      <c r="F32" s="106" t="s">
        <v>66</v>
      </c>
      <c r="G32" s="103"/>
      <c r="H32" s="100">
        <f ca="1">(XCp-XcgPlein)/Long_tot*100</f>
        <v>22.523152154683469</v>
      </c>
      <c r="I32" s="101">
        <f ca="1">(XCp-XcgVide)/Long_tot*100</f>
        <v>23.245528839496714</v>
      </c>
      <c r="J32" s="102"/>
      <c r="K32" s="32"/>
      <c r="Q32" s="29"/>
      <c r="R32" s="38"/>
      <c r="U32" s="24">
        <v>2.66</v>
      </c>
      <c r="V32" s="24">
        <v>15.795999999999999</v>
      </c>
    </row>
    <row r="33" spans="1:23" ht="12.75" customHeight="1" x14ac:dyDescent="0.2">
      <c r="A33" s="25"/>
      <c r="B33" s="524" t="str">
        <f>IF(Lang="Français"," Nombre            ",IF(Lang="English"," Number of fins",""))</f>
        <v xml:space="preserve"> Nombre            </v>
      </c>
      <c r="C33" s="36">
        <v>4</v>
      </c>
      <c r="D33" s="36">
        <v>4</v>
      </c>
      <c r="E33" s="146">
        <f>X_ail</f>
        <v>942</v>
      </c>
      <c r="G33" s="24"/>
      <c r="H33" s="540" t="str">
        <f ca="1">IF(AND(CritCnmin&lt;Cn,Cn0&lt;CritCnmax,CritMsmin&lt;MS_min,MS_max&lt;CritMsmax,CritMsCnmin&lt;MS_Cn_min,MS_Cn_max&lt;CritMsCnmax),"STABLE",IF(OR(Cn&lt;CritCnmin,MS_min&lt;CritMsmin,MS_Cn_min&lt;CritMsCnmin),"INSTABLE",IF(Lang="Français","SURSTABLE","OVERSTABLE")))</f>
        <v>STABLE</v>
      </c>
      <c r="I33" s="541"/>
      <c r="J33" s="31"/>
      <c r="K33" s="32"/>
      <c r="Q33" s="29"/>
      <c r="R33" s="38"/>
    </row>
    <row r="34" spans="1:23" ht="12.75" customHeight="1" x14ac:dyDescent="0.2">
      <c r="A34" s="25"/>
      <c r="B34" s="524" t="str">
        <f>IF(Lang="Français"," Position du bas",IF(Lang="English"," Basement",""))</f>
        <v xml:space="preserve"> Position du bas</v>
      </c>
      <c r="C34" s="35">
        <v>942</v>
      </c>
      <c r="D34" s="35">
        <v>1250</v>
      </c>
      <c r="E34" s="146">
        <f>D_ail</f>
        <v>84</v>
      </c>
      <c r="G34" s="24"/>
      <c r="H34" s="542"/>
      <c r="I34" s="543"/>
      <c r="K34" s="32"/>
      <c r="Q34" s="29"/>
      <c r="R34" s="38"/>
    </row>
    <row r="35" spans="1:23" ht="12.75" customHeight="1" x14ac:dyDescent="0.2">
      <c r="A35" s="25"/>
      <c r="B35" s="524" t="str">
        <f>IF(Lang="Français"," Diamètre         ",IF(Lang="English"," Diameter at Fins",""))</f>
        <v xml:space="preserve"> Diamètre         </v>
      </c>
      <c r="C35" s="35">
        <v>84</v>
      </c>
      <c r="D35" s="35">
        <f>D_ref</f>
        <v>84</v>
      </c>
      <c r="E35" s="146">
        <f>SQRT(POWER(p_int+n_int/2-m_int/2,2)+POWER(E_int,2))</f>
        <v>130.66751700403586</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130.66751700403586</v>
      </c>
      <c r="D36" s="145">
        <f>SQRT(POWER(p_can+n_can/2-m_can/2,2)+POWER(E_can,2))</f>
        <v>155.56349186104046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-252</v>
      </c>
      <c r="D126" s="46">
        <f>IF(AND(RIGHT(Nb_diam,1)=".",X_j), D1j/2, D125 )</f>
        <v>42</v>
      </c>
      <c r="E126" s="93">
        <f t="shared" si="0"/>
        <v>-42</v>
      </c>
      <c r="K126" s="46"/>
    </row>
    <row r="127" spans="2:18" x14ac:dyDescent="0.2">
      <c r="B127" s="45" t="s">
        <v>74</v>
      </c>
      <c r="C127" s="46">
        <f>IF(AND(RIGHT(Nb_diam,1)=".",X_j), -X_j-l_j, C126 )</f>
        <v>-252</v>
      </c>
      <c r="D127" s="46">
        <f>IF(AND(RIGHT(Nb_diam,1)=".",X_j), D2j/2, D126 )</f>
        <v>42</v>
      </c>
      <c r="E127" s="93">
        <f t="shared" si="0"/>
        <v>-42</v>
      </c>
      <c r="K127" s="46"/>
    </row>
    <row r="128" spans="2:18" x14ac:dyDescent="0.2">
      <c r="B128" s="45" t="s">
        <v>75</v>
      </c>
      <c r="C128" s="46">
        <f>IF(AND(RIGHT(Nb_diam,1)=".",X_r), -X_r, C127 )</f>
        <v>-252</v>
      </c>
      <c r="D128" s="46">
        <f>IF(AND(RIGHT(Nb_diam,1)=".",X_r), D1r/2, D127 )</f>
        <v>42</v>
      </c>
      <c r="E128" s="93">
        <f t="shared" si="0"/>
        <v>-42</v>
      </c>
      <c r="K128" s="46"/>
    </row>
    <row r="129" spans="2:11" x14ac:dyDescent="0.2">
      <c r="B129" s="45" t="s">
        <v>76</v>
      </c>
      <c r="C129" s="46">
        <f>IF(AND(RIGHT(Nb_diam,1)=".",X_r), -X_r-l_r, C128 )</f>
        <v>-252</v>
      </c>
      <c r="D129" s="46">
        <f>IF(AND(RIGHT(Nb_diam,1)=".",X_r), D2r/2, D128 )</f>
        <v>42</v>
      </c>
      <c r="E129" s="93">
        <f t="shared" si="0"/>
        <v>-42</v>
      </c>
      <c r="K129" s="46"/>
    </row>
    <row r="130" spans="2:11" x14ac:dyDescent="0.2">
      <c r="B130" s="45" t="s">
        <v>77</v>
      </c>
      <c r="C130" s="46">
        <f>-Long_tot</f>
        <v>-992</v>
      </c>
      <c r="D130" s="46">
        <f>D129</f>
        <v>42</v>
      </c>
      <c r="E130" s="93">
        <f t="shared" si="0"/>
        <v>-42</v>
      </c>
      <c r="K130" s="46"/>
    </row>
    <row r="131" spans="2:11" x14ac:dyDescent="0.2">
      <c r="B131" s="45" t="s">
        <v>77</v>
      </c>
      <c r="C131" s="46">
        <f>-Long_tot</f>
        <v>-992</v>
      </c>
      <c r="D131" s="46">
        <v>0</v>
      </c>
      <c r="E131" s="93">
        <f t="shared" si="0"/>
        <v>0</v>
      </c>
      <c r="K131" s="46"/>
    </row>
    <row r="132" spans="2:11" x14ac:dyDescent="0.2">
      <c r="B132" s="183" t="s">
        <v>78</v>
      </c>
      <c r="C132" s="197">
        <f>-X_ail+m_ail</f>
        <v>-772</v>
      </c>
      <c r="D132" s="197">
        <f>D_ail/2</f>
        <v>42</v>
      </c>
      <c r="E132" s="198">
        <f t="shared" si="0"/>
        <v>-42</v>
      </c>
      <c r="K132" s="46"/>
    </row>
    <row r="133" spans="2:11" x14ac:dyDescent="0.2">
      <c r="B133" s="185" t="s">
        <v>79</v>
      </c>
      <c r="C133" s="46">
        <f>-X_ail+m_ail-p_ail</f>
        <v>-892</v>
      </c>
      <c r="D133" s="46">
        <f>D_ail/2+E_ail</f>
        <v>149</v>
      </c>
      <c r="E133" s="199">
        <f t="shared" si="0"/>
        <v>-149</v>
      </c>
      <c r="K133" s="46"/>
    </row>
    <row r="134" spans="2:11" x14ac:dyDescent="0.2">
      <c r="B134" s="185" t="s">
        <v>80</v>
      </c>
      <c r="C134" s="46">
        <f>-X_ail+m_ail-p_ail-n_ail</f>
        <v>-972</v>
      </c>
      <c r="D134" s="46">
        <f>D_ail/2+E_ail</f>
        <v>149</v>
      </c>
      <c r="E134" s="199">
        <f t="shared" si="0"/>
        <v>-149</v>
      </c>
      <c r="K134" s="46"/>
    </row>
    <row r="135" spans="2:11" x14ac:dyDescent="0.2">
      <c r="B135" s="185" t="s">
        <v>81</v>
      </c>
      <c r="C135" s="46">
        <f>-X_ail</f>
        <v>-942</v>
      </c>
      <c r="D135" s="46">
        <f>D_ail/2</f>
        <v>42</v>
      </c>
      <c r="E135" s="199">
        <f t="shared" si="0"/>
        <v>-42</v>
      </c>
      <c r="K135" s="46"/>
    </row>
    <row r="136" spans="2:11" x14ac:dyDescent="0.2">
      <c r="B136" s="187" t="s">
        <v>78</v>
      </c>
      <c r="C136" s="200">
        <f>-X_ail+m_ail</f>
        <v>-772</v>
      </c>
      <c r="D136" s="200">
        <f>D_ail/2</f>
        <v>42</v>
      </c>
      <c r="E136" s="201">
        <f t="shared" si="0"/>
        <v>-42</v>
      </c>
      <c r="K136" s="46"/>
    </row>
    <row r="137" spans="2:11" x14ac:dyDescent="0.2">
      <c r="B137" s="192" t="str">
        <f>IF(E_ail&gt;0,IF(Lang="Français","Envergure","Span"),"")</f>
        <v>Envergure</v>
      </c>
      <c r="C137" s="197">
        <f>MIN(-X_ail,-X_ail+m_ail-p_ail-n_ail)-Long_tot/30</f>
        <v>-1005.0666666666667</v>
      </c>
      <c r="D137" s="207">
        <f>-D_ail/2-E_ail</f>
        <v>-149</v>
      </c>
      <c r="E137" s="93"/>
      <c r="K137" s="46"/>
    </row>
    <row r="138" spans="2:11" x14ac:dyDescent="0.2">
      <c r="B138" s="195" t="s">
        <v>166</v>
      </c>
      <c r="C138" s="46">
        <f>MIN(-X_ail,-X_ail+m_ail-p_ail-n_ail)-Long_tot/30</f>
        <v>-1005.0666666666667</v>
      </c>
      <c r="D138" s="208">
        <f>-D_ail/2-E_ail/2</f>
        <v>-95.5</v>
      </c>
      <c r="E138" s="93"/>
      <c r="K138" s="46"/>
    </row>
    <row r="139" spans="2:11" x14ac:dyDescent="0.2">
      <c r="B139" s="212" t="s">
        <v>162</v>
      </c>
      <c r="C139" s="200">
        <f>MIN(-X_ail,-X_ail+m_ail-p_ail-n_ail)-Long_tot/30</f>
        <v>-1005.0666666666667</v>
      </c>
      <c r="D139" s="209">
        <f>-D_ail/2</f>
        <v>-42</v>
      </c>
      <c r="E139" s="93"/>
      <c r="K139" s="46"/>
    </row>
    <row r="140" spans="2:11" x14ac:dyDescent="0.2">
      <c r="B140" s="192" t="str">
        <f>IF(Lang="Français","Emplanture","Root edge")</f>
        <v>Emplanture</v>
      </c>
      <c r="C140" s="197">
        <f>-X_ail+m_ail</f>
        <v>-772</v>
      </c>
      <c r="D140" s="207">
        <f>D_ail/2+E_ail+Long_tot/20</f>
        <v>198.6</v>
      </c>
      <c r="E140" s="93"/>
      <c r="K140" s="46"/>
    </row>
    <row r="141" spans="2:11" x14ac:dyDescent="0.2">
      <c r="B141" s="195" t="s">
        <v>168</v>
      </c>
      <c r="C141" s="46">
        <f>-X_ail+m_ail/2</f>
        <v>-857</v>
      </c>
      <c r="D141" s="208">
        <f>D_ail/2+E_ail+Long_tot/20</f>
        <v>198.6</v>
      </c>
      <c r="E141" s="93"/>
      <c r="K141" s="46"/>
    </row>
    <row r="142" spans="2:11" x14ac:dyDescent="0.2">
      <c r="B142" s="212" t="s">
        <v>169</v>
      </c>
      <c r="C142" s="200">
        <f>-X_ail</f>
        <v>-942</v>
      </c>
      <c r="D142" s="209">
        <f>D_ail/2+E_ail+Long_tot/20</f>
        <v>198.6</v>
      </c>
      <c r="E142" s="93"/>
      <c r="K142" s="46"/>
    </row>
    <row r="143" spans="2:11" x14ac:dyDescent="0.2">
      <c r="B143" s="192" t="str">
        <f>IF(p_ail&lt;&gt;0,IF(Lang="Français","Flèche","Offset"),"")</f>
        <v>Flèche</v>
      </c>
      <c r="C143" s="197">
        <f>-X_ail+m_ail</f>
        <v>-772</v>
      </c>
      <c r="D143" s="207">
        <f>-D_ail/2-E_ail-Long_tot/30</f>
        <v>-182.06666666666666</v>
      </c>
      <c r="E143" s="93"/>
      <c r="K143" s="46"/>
    </row>
    <row r="144" spans="2:11" x14ac:dyDescent="0.2">
      <c r="B144" s="195" t="s">
        <v>165</v>
      </c>
      <c r="C144" s="46">
        <f>-X_ail+m_ail-p_ail/2</f>
        <v>-832</v>
      </c>
      <c r="D144" s="208">
        <f>-D_ail/2-E_ail-Long_tot/30</f>
        <v>-182.06666666666666</v>
      </c>
      <c r="E144" s="93"/>
      <c r="K144" s="46"/>
    </row>
    <row r="145" spans="2:11" x14ac:dyDescent="0.2">
      <c r="B145" s="212" t="s">
        <v>163</v>
      </c>
      <c r="C145" s="200">
        <f>-X_ail+m_ail-p_ail</f>
        <v>-892</v>
      </c>
      <c r="D145" s="209">
        <f>-D_ail/2-E_ail-Long_tot/30</f>
        <v>-182.06666666666666</v>
      </c>
      <c r="E145" s="93"/>
      <c r="K145" s="46"/>
    </row>
    <row r="146" spans="2:11" x14ac:dyDescent="0.2">
      <c r="B146" s="192" t="str">
        <f>IF(n_ail&gt;0,IF(Lang="Français","Saumon","Tip edge"),"")</f>
        <v>Saumon</v>
      </c>
      <c r="C146" s="197">
        <f>-X_ail+m_ail-p_ail</f>
        <v>-892</v>
      </c>
      <c r="D146" s="207">
        <f>-D_ail/2-E_ail-Long_tot/20</f>
        <v>-198.6</v>
      </c>
      <c r="E146" s="93"/>
      <c r="K146" s="46"/>
    </row>
    <row r="147" spans="2:11" x14ac:dyDescent="0.2">
      <c r="B147" s="195" t="s">
        <v>167</v>
      </c>
      <c r="C147" s="46">
        <f>-X_ail+m_ail-p_ail-n_ail/2</f>
        <v>-932</v>
      </c>
      <c r="D147" s="208">
        <f>-D_ail/2-E_ail-Long_tot/20</f>
        <v>-198.6</v>
      </c>
      <c r="E147" s="93"/>
      <c r="K147" s="46"/>
    </row>
    <row r="148" spans="2:11" x14ac:dyDescent="0.2">
      <c r="B148" s="212" t="s">
        <v>164</v>
      </c>
      <c r="C148" s="200">
        <f>-X_ail+m_ail-p_ail-n_ail</f>
        <v>-972</v>
      </c>
      <c r="D148" s="209">
        <f>-D_ail/2-E_ail-Long_tot/20</f>
        <v>-198.6</v>
      </c>
      <c r="E148" s="93"/>
      <c r="K148" s="46"/>
    </row>
    <row r="149" spans="2:11" x14ac:dyDescent="0.2">
      <c r="B149" s="183" t="s">
        <v>82</v>
      </c>
      <c r="C149" s="197">
        <f ca="1">-XcgPlein</f>
        <v>-545.59795737994693</v>
      </c>
      <c r="D149" s="207">
        <v>0</v>
      </c>
      <c r="E149" s="93"/>
      <c r="K149" s="46"/>
    </row>
    <row r="150" spans="2:11" x14ac:dyDescent="0.2">
      <c r="B150" s="187" t="s">
        <v>83</v>
      </c>
      <c r="C150" s="200">
        <f ca="1">-XcgVide</f>
        <v>-538.43198066659954</v>
      </c>
      <c r="D150" s="209">
        <v>0</v>
      </c>
      <c r="E150" s="93"/>
      <c r="K150" s="46"/>
    </row>
    <row r="151" spans="2:11" x14ac:dyDescent="0.2">
      <c r="B151" s="183" t="s">
        <v>84</v>
      </c>
      <c r="C151" s="197">
        <f>-XCp</f>
        <v>-769.02762675440692</v>
      </c>
      <c r="D151" s="207">
        <v>0</v>
      </c>
      <c r="E151" s="93"/>
      <c r="K151" s="46"/>
    </row>
    <row r="152" spans="2:11" x14ac:dyDescent="0.2">
      <c r="B152" s="187" t="s">
        <v>84</v>
      </c>
      <c r="C152" s="200">
        <f>-XCp</f>
        <v>-769.02762675440692</v>
      </c>
      <c r="D152" s="209">
        <f>Cn*D_ref/CritCnmin</f>
        <v>87.372101895940062</v>
      </c>
      <c r="E152" s="93"/>
      <c r="K152" s="46"/>
    </row>
    <row r="153" spans="2:11" x14ac:dyDescent="0.2">
      <c r="B153" s="185" t="s">
        <v>422</v>
      </c>
      <c r="C153" s="46">
        <f>-XCp0</f>
        <v>-769.02762675440692</v>
      </c>
      <c r="D153" s="208">
        <f>Cn0*D_ref/CritCnmin</f>
        <v>87.372101895940062</v>
      </c>
      <c r="E153" s="93"/>
      <c r="K153" s="46"/>
    </row>
    <row r="154" spans="2:11" x14ac:dyDescent="0.2">
      <c r="B154" s="185" t="s">
        <v>422</v>
      </c>
      <c r="C154" s="46">
        <f>-XCp0</f>
        <v>-769.02762675440692</v>
      </c>
      <c r="D154" s="208">
        <v>0</v>
      </c>
      <c r="E154" s="93"/>
      <c r="K154" s="46"/>
    </row>
    <row r="155" spans="2:11" x14ac:dyDescent="0.2">
      <c r="B155" s="192" t="str">
        <f>IF(n_ail&gt;0,IF(Lang="Français","Marge Statique","Static Margin"),"")</f>
        <v>Marge Statique</v>
      </c>
      <c r="C155" s="197">
        <f ca="1">(-XcgPlein-XcgVide)/2</f>
        <v>-542.01496902327324</v>
      </c>
      <c r="D155" s="207">
        <f>-D_ail/2-E_ail-Long_tot/20</f>
        <v>-198.6</v>
      </c>
      <c r="E155" s="93"/>
      <c r="K155" s="46"/>
    </row>
    <row r="156" spans="2:11" x14ac:dyDescent="0.2">
      <c r="B156" s="195" t="s">
        <v>170</v>
      </c>
      <c r="C156" s="46">
        <f ca="1">(C155+C157)/2</f>
        <v>-655.52129788884008</v>
      </c>
      <c r="D156" s="208">
        <f>-D_ail/2-E_ail-Long_tot/20</f>
        <v>-198.6</v>
      </c>
      <c r="E156" s="93"/>
      <c r="K156" s="46"/>
    </row>
    <row r="157" spans="2:11" x14ac:dyDescent="0.2">
      <c r="B157" s="212" t="s">
        <v>171</v>
      </c>
      <c r="C157" s="200">
        <f>-XCp</f>
        <v>-769.02762675440692</v>
      </c>
      <c r="D157" s="209">
        <f>-D_ail/2-E_ail-Long_tot/20</f>
        <v>-198.6</v>
      </c>
      <c r="E157" s="93"/>
      <c r="K157" s="46"/>
    </row>
    <row r="158" spans="2:11" x14ac:dyDescent="0.2">
      <c r="B158" s="183" t="s">
        <v>85</v>
      </c>
      <c r="C158" s="197">
        <f>IF(LEFT(Type_masquage,1)="M",0,-X_can+m_can)</f>
        <v>0</v>
      </c>
      <c r="D158" s="197">
        <f>IF(LEFT(Type_masquage,1)="M",0,D_ail/2)</f>
        <v>0</v>
      </c>
      <c r="E158" s="198">
        <f t="shared" ref="E158:E167" si="1">-D158</f>
        <v>0</v>
      </c>
      <c r="K158" s="46"/>
    </row>
    <row r="159" spans="2:11" x14ac:dyDescent="0.2">
      <c r="B159" s="185" t="s">
        <v>86</v>
      </c>
      <c r="C159" s="46">
        <f>IF(LEFT(Type_masquage,1)="M",0,-X_can+m_can-p_can)</f>
        <v>0</v>
      </c>
      <c r="D159" s="46">
        <f>IF(LEFT(Type_masquage,1)="M",0,D_ail/2+E_can)</f>
        <v>0</v>
      </c>
      <c r="E159" s="199">
        <f t="shared" si="1"/>
        <v>0</v>
      </c>
      <c r="K159" s="46"/>
    </row>
    <row r="160" spans="2:11" x14ac:dyDescent="0.2">
      <c r="B160" s="185" t="s">
        <v>87</v>
      </c>
      <c r="C160" s="46">
        <f>IF(LEFT(Type_masquage,1)="M",0,-X_can+m_can-p_can-n_can)</f>
        <v>0</v>
      </c>
      <c r="D160" s="46">
        <f>IF(LEFT(Type_masquage,1)="M",0,D_ail/2+E_can)</f>
        <v>0</v>
      </c>
      <c r="E160" s="199">
        <f t="shared" si="1"/>
        <v>0</v>
      </c>
      <c r="K160" s="46"/>
    </row>
    <row r="161" spans="2:11" x14ac:dyDescent="0.2">
      <c r="B161" s="185" t="s">
        <v>88</v>
      </c>
      <c r="C161" s="46">
        <f>IF(LEFT(Type_masquage,1)="M",0,-X_can)</f>
        <v>0</v>
      </c>
      <c r="D161" s="46">
        <f>IF(LEFT(Type_masquage,1)="M",0,D_ail/2)</f>
        <v>0</v>
      </c>
      <c r="E161" s="199">
        <f t="shared" si="1"/>
        <v>0</v>
      </c>
      <c r="K161" s="46"/>
    </row>
    <row r="162" spans="2:11" x14ac:dyDescent="0.2">
      <c r="B162" s="187" t="s">
        <v>85</v>
      </c>
      <c r="C162" s="200">
        <f>IF(LEFT(Type_masquage,1)="M",0,-X_can+m_can)</f>
        <v>0</v>
      </c>
      <c r="D162" s="200">
        <f>IF(LEFT(Type_masquage,1)="M",0,D_ail/2)</f>
        <v>0</v>
      </c>
      <c r="E162" s="201">
        <f t="shared" si="1"/>
        <v>0</v>
      </c>
      <c r="K162" s="46"/>
    </row>
    <row r="163" spans="2:11" x14ac:dyDescent="0.2">
      <c r="B163" s="183" t="s">
        <v>89</v>
      </c>
      <c r="C163" s="197">
        <f>IF(LEFT(Type_masquage,1)="B",-X_int+m_int,0)</f>
        <v>0</v>
      </c>
      <c r="D163" s="197">
        <f>IF(LEFT(Type_masquage,1)="B",D_int/2,0)</f>
        <v>0</v>
      </c>
      <c r="E163" s="198">
        <f t="shared" si="1"/>
        <v>0</v>
      </c>
      <c r="K163" s="46"/>
    </row>
    <row r="164" spans="2:11" x14ac:dyDescent="0.2">
      <c r="B164" s="185" t="s">
        <v>90</v>
      </c>
      <c r="C164" s="46">
        <f>IF(LEFT(Type_masquage,1)="B",-X_int+m_int-p_int,0)</f>
        <v>0</v>
      </c>
      <c r="D164" s="46">
        <f>IF(LEFT(Type_masquage,1)="B",D_int/2+E_int,0)</f>
        <v>0</v>
      </c>
      <c r="E164" s="199">
        <f t="shared" si="1"/>
        <v>0</v>
      </c>
      <c r="K164" s="46"/>
    </row>
    <row r="165" spans="2:11" x14ac:dyDescent="0.2">
      <c r="B165" s="185" t="s">
        <v>91</v>
      </c>
      <c r="C165" s="46">
        <f>IF(LEFT(Type_masquage,1)="B",-X_int+m_int-p_int-n_int,0)</f>
        <v>0</v>
      </c>
      <c r="D165" s="46">
        <f>IF(LEFT(Type_masquage,1)="B",D_int/2+E_int,0)</f>
        <v>0</v>
      </c>
      <c r="E165" s="199">
        <f t="shared" si="1"/>
        <v>0</v>
      </c>
      <c r="K165" s="46"/>
    </row>
    <row r="166" spans="2:11" x14ac:dyDescent="0.2">
      <c r="B166" s="185" t="s">
        <v>92</v>
      </c>
      <c r="C166" s="46">
        <f>IF(LEFT(Type_masquage,1)="B",-X_int,0)</f>
        <v>0</v>
      </c>
      <c r="D166" s="46">
        <f>IF(LEFT(Type_masquage,1)="B",D_int/2,0)</f>
        <v>0</v>
      </c>
      <c r="E166" s="199">
        <f t="shared" si="1"/>
        <v>0</v>
      </c>
      <c r="K166" s="46"/>
    </row>
    <row r="167" spans="2:11" x14ac:dyDescent="0.2">
      <c r="B167" s="187" t="s">
        <v>89</v>
      </c>
      <c r="C167" s="200">
        <f>IF(LEFT(Type_masquage,1)="B",-X_int+m_int,0)</f>
        <v>0</v>
      </c>
      <c r="D167" s="200">
        <f>IF(LEFT(Type_masquage,1)="B",D_int/2,0)</f>
        <v>0</v>
      </c>
      <c r="E167" s="201">
        <f t="shared" si="1"/>
        <v>0</v>
      </c>
      <c r="K167" s="46"/>
    </row>
    <row r="168" spans="2:11" x14ac:dyDescent="0.2">
      <c r="B168" s="45" t="s">
        <v>93</v>
      </c>
      <c r="C168" s="46">
        <f>-MAX(Long_tot, X_ail-m_ail+p_ail+n_ail, (E_ail+D_ail/2)*3.2)*1.01</f>
        <v>-1001.92</v>
      </c>
      <c r="D168" s="46">
        <f>MAX(E_ail+D_ail/2, Long_tot/3)</f>
        <v>330.66666666666669</v>
      </c>
      <c r="E168" s="93"/>
      <c r="K168" s="46"/>
    </row>
    <row r="169" spans="2:11" x14ac:dyDescent="0.2">
      <c r="B169" s="45" t="s">
        <v>93</v>
      </c>
      <c r="C169" s="46">
        <f>C168</f>
        <v>-1001.92</v>
      </c>
      <c r="D169" s="46">
        <f>-D168</f>
        <v>-330.66666666666669</v>
      </c>
      <c r="E169" s="93"/>
      <c r="K169" s="46"/>
    </row>
    <row r="170" spans="2:11" x14ac:dyDescent="0.2">
      <c r="B170" s="183" t="s">
        <v>94</v>
      </c>
      <c r="C170" s="197">
        <f ca="1">-XpropuRef+Long_propu</f>
        <v>-714</v>
      </c>
      <c r="D170" s="207">
        <f ca="1">-Diam_propu/2</f>
        <v>-12</v>
      </c>
      <c r="E170" s="93"/>
      <c r="K170" s="46"/>
    </row>
    <row r="171" spans="2:11" x14ac:dyDescent="0.2">
      <c r="B171" s="185" t="s">
        <v>95</v>
      </c>
      <c r="C171" s="46">
        <f ca="1">-XpropuRef+Long_propu</f>
        <v>-714</v>
      </c>
      <c r="D171" s="208">
        <f ca="1">Diam_propu/2</f>
        <v>12</v>
      </c>
      <c r="E171" s="93"/>
      <c r="K171" s="46"/>
    </row>
    <row r="172" spans="2:11" x14ac:dyDescent="0.2">
      <c r="B172" s="185" t="s">
        <v>96</v>
      </c>
      <c r="C172" s="46">
        <f>-XpropuRef</f>
        <v>-942</v>
      </c>
      <c r="D172" s="208">
        <f ca="1">Diam_propu/2</f>
        <v>12</v>
      </c>
      <c r="E172" s="93"/>
      <c r="K172" s="46"/>
    </row>
    <row r="173" spans="2:11" x14ac:dyDescent="0.2">
      <c r="B173" s="185" t="s">
        <v>97</v>
      </c>
      <c r="C173" s="46">
        <f>-XpropuRef</f>
        <v>-942</v>
      </c>
      <c r="D173" s="208">
        <f ca="1">-Diam_propu/2</f>
        <v>-12</v>
      </c>
      <c r="E173" s="93"/>
      <c r="K173" s="46"/>
    </row>
    <row r="174" spans="2:11" x14ac:dyDescent="0.2">
      <c r="B174" s="187" t="s">
        <v>98</v>
      </c>
      <c r="C174" s="200">
        <f ca="1">-XpropuRef+Long_propu</f>
        <v>-714</v>
      </c>
      <c r="D174" s="209">
        <f ca="1">-Diam_propu/2</f>
        <v>-12</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60</v>
      </c>
      <c r="K182" s="45"/>
    </row>
    <row r="183" spans="2:11" x14ac:dyDescent="0.2">
      <c r="B183" s="187">
        <v>7</v>
      </c>
      <c r="C183" s="196">
        <f>CritCnmin</f>
        <v>15</v>
      </c>
      <c r="D183" s="185">
        <v>1</v>
      </c>
      <c r="E183" s="205">
        <f t="shared" si="3"/>
        <v>30</v>
      </c>
      <c r="K183" s="45"/>
    </row>
    <row r="184" spans="2:11" x14ac:dyDescent="0.2">
      <c r="B184" s="183">
        <v>0</v>
      </c>
      <c r="C184" s="202">
        <f>CritCnmax</f>
        <v>30</v>
      </c>
      <c r="D184" s="185">
        <v>2</v>
      </c>
      <c r="E184" s="205">
        <f t="shared" si="3"/>
        <v>15</v>
      </c>
      <c r="K184" s="45"/>
    </row>
    <row r="185" spans="2:11" x14ac:dyDescent="0.2">
      <c r="B185" s="187">
        <v>7</v>
      </c>
      <c r="C185" s="196">
        <f>CritCnmax</f>
        <v>30</v>
      </c>
      <c r="D185" s="185">
        <v>3</v>
      </c>
      <c r="E185" s="205">
        <f t="shared" si="3"/>
        <v>10</v>
      </c>
      <c r="K185" s="45"/>
    </row>
    <row r="186" spans="2:11" x14ac:dyDescent="0.2">
      <c r="B186" s="183">
        <f>CritMsmin</f>
        <v>1.5</v>
      </c>
      <c r="C186" s="202">
        <v>0</v>
      </c>
      <c r="D186" s="185">
        <v>5</v>
      </c>
      <c r="E186" s="205">
        <f t="shared" si="3"/>
        <v>6</v>
      </c>
      <c r="K186" s="45"/>
    </row>
    <row r="187" spans="2:11" x14ac:dyDescent="0.2">
      <c r="B187" s="187">
        <f>CritMsmin</f>
        <v>1.5</v>
      </c>
      <c r="C187" s="196">
        <v>55</v>
      </c>
      <c r="D187" s="185">
        <v>7</v>
      </c>
      <c r="E187" s="205">
        <f t="shared" si="3"/>
        <v>4.2857142857142856</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2.6598770163626191</v>
      </c>
      <c r="C190" s="203">
        <f>Cn</f>
        <v>15.602161052846441</v>
      </c>
      <c r="D190" s="185">
        <v>3</v>
      </c>
      <c r="E190" s="205">
        <f t="shared" si="4"/>
        <v>33.333333333333336</v>
      </c>
      <c r="K190" s="45"/>
    </row>
    <row r="191" spans="2:11" x14ac:dyDescent="0.2">
      <c r="B191" s="512">
        <f ca="1">(XCp0-XcgPlein)/D_ref</f>
        <v>2.6598770163626191</v>
      </c>
      <c r="C191" s="513">
        <f>Cn0</f>
        <v>15.602161052846441</v>
      </c>
      <c r="D191" s="185">
        <v>4</v>
      </c>
      <c r="E191" s="205">
        <f t="shared" si="4"/>
        <v>25</v>
      </c>
      <c r="K191" s="45"/>
    </row>
    <row r="192" spans="2:11" x14ac:dyDescent="0.2">
      <c r="B192" s="512">
        <f ca="1">(XCp0-XcgVide)/D_ref</f>
        <v>2.7451862629500878</v>
      </c>
      <c r="C192" s="513">
        <f>Cn0</f>
        <v>15.602161052846441</v>
      </c>
      <c r="D192" s="185">
        <v>6</v>
      </c>
      <c r="E192" s="205">
        <f t="shared" si="4"/>
        <v>16.666666666666668</v>
      </c>
      <c r="K192" s="45"/>
    </row>
    <row r="193" spans="2:11" x14ac:dyDescent="0.2">
      <c r="B193" s="512">
        <f ca="1">(XCp-XcgVide)/D_ref</f>
        <v>2.7451862629500878</v>
      </c>
      <c r="C193" s="513">
        <f>Cn</f>
        <v>15.602161052846441</v>
      </c>
      <c r="D193" s="187">
        <v>7</v>
      </c>
      <c r="E193" s="206">
        <f t="shared" si="4"/>
        <v>14.285714285714286</v>
      </c>
      <c r="K193" s="45"/>
    </row>
    <row r="194" spans="2:11" x14ac:dyDescent="0.2">
      <c r="B194" s="512">
        <f ca="1">MS_min</f>
        <v>2.6598770163626191</v>
      </c>
      <c r="C194" s="514">
        <f>Cn</f>
        <v>15.602161052846441</v>
      </c>
      <c r="D194" s="45"/>
      <c r="E194" s="92"/>
      <c r="K194" s="45"/>
    </row>
    <row r="195" spans="2:11" x14ac:dyDescent="0.2">
      <c r="B195" s="183">
        <v>0</v>
      </c>
      <c r="C195" s="202">
        <f>(CritCnmin+CritCnmax)/2</f>
        <v>22.5</v>
      </c>
      <c r="D195" s="26"/>
      <c r="E195" s="90"/>
      <c r="K195" s="26"/>
    </row>
    <row r="196" spans="2:11" x14ac:dyDescent="0.2">
      <c r="B196" s="185">
        <f>MAX(CritMsmin,CritMsCnmin/C196)</f>
        <v>1.5</v>
      </c>
      <c r="C196" s="45">
        <f>(CritCnmin+CritCnmax)/2</f>
        <v>22.5</v>
      </c>
      <c r="D196" s="26"/>
      <c r="E196" s="90"/>
      <c r="K196" s="26"/>
    </row>
    <row r="197" spans="2:11" x14ac:dyDescent="0.2">
      <c r="B197" s="185">
        <f>MIN(CritMsmax,CritMsCnmax/C197)</f>
        <v>4.4444444444444446</v>
      </c>
      <c r="C197" s="189">
        <f>(CritCnmin+CritCnmax)/2</f>
        <v>22.5</v>
      </c>
    </row>
    <row r="198" spans="2:11" x14ac:dyDescent="0.2">
      <c r="B198" s="187">
        <v>7</v>
      </c>
      <c r="C198" s="190">
        <f>(CritCnmin+CritCnmax)/2</f>
        <v>22.5</v>
      </c>
    </row>
    <row r="199" spans="2:11" x14ac:dyDescent="0.2">
      <c r="B199" s="183">
        <f>(CritMsmin+CritMsmax)/2</f>
        <v>3.75</v>
      </c>
      <c r="C199" s="184">
        <v>0</v>
      </c>
    </row>
    <row r="200" spans="2:11" x14ac:dyDescent="0.2">
      <c r="B200" s="185">
        <f>(CritMsmin+CritMsmax)/2</f>
        <v>3.75</v>
      </c>
      <c r="C200" s="186">
        <f>MAX(CritCnmin,CritMsCnmin/B200)</f>
        <v>15</v>
      </c>
    </row>
    <row r="201" spans="2:11" x14ac:dyDescent="0.2">
      <c r="B201" s="185">
        <f>(CritMsmin+CritMsmax)/2</f>
        <v>3.75</v>
      </c>
      <c r="C201" s="186">
        <f>MIN(CritCnmax,CritMsCnmax/B201)</f>
        <v>26.666666666666668</v>
      </c>
    </row>
    <row r="202" spans="2:11" x14ac:dyDescent="0.2">
      <c r="B202" s="187">
        <f>(CritMsmin+CritMsmax)/2</f>
        <v>3.75</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0</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1</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ignoredErrors>
    <ignoredError sqref="D35" unlockedFormula="1"/>
    <ignoredError sqref="E18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abSelected="1" topLeftCell="A7" zoomScaleNormal="100" workbookViewId="0">
      <selection activeCell="S39" sqref="S39"/>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SP02-Alpha</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563</v>
      </c>
      <c r="C10" s="596" t="str">
        <f>Matricule</f>
        <v/>
      </c>
      <c r="D10" s="596"/>
      <c r="F10" s="5"/>
      <c r="N10" s="58"/>
    </row>
    <row r="11" spans="1:14" ht="12.75" customHeight="1" x14ac:dyDescent="0.2">
      <c r="A11" s="59"/>
      <c r="B11" s="140" t="str">
        <f>IF(Lang="Français","Masse totale",IF(Lang="English","Total Mass",""))</f>
        <v>Masse totale</v>
      </c>
      <c r="C11" s="625">
        <f ca="1">MassePlein</f>
        <v>3.0548999999999999</v>
      </c>
      <c r="D11" s="625"/>
      <c r="F11" s="5"/>
      <c r="N11" s="58"/>
    </row>
    <row r="12" spans="1:14" ht="12.75" customHeight="1" x14ac:dyDescent="0.2">
      <c r="A12" s="59"/>
      <c r="B12" s="227" t="str">
        <f>IF(Lang="Français","Propulseur",IF(Lang="English","Motor",""))</f>
        <v>Propulseur</v>
      </c>
      <c r="C12" s="628" t="str">
        <f>Propu</f>
        <v>Pandora (Pro24-6G BS)</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6.8257694409323945E-3</v>
      </c>
      <c r="D15" s="630"/>
      <c r="N15" s="58"/>
    </row>
    <row r="16" spans="1:14" ht="12.75" customHeight="1" x14ac:dyDescent="0.2">
      <c r="A16" s="59"/>
      <c r="B16" s="141" t="s">
        <v>5</v>
      </c>
      <c r="C16" s="623">
        <v>0.6</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2.5</v>
      </c>
      <c r="D19" s="627"/>
      <c r="N19" s="58"/>
    </row>
    <row r="20" spans="1:18" ht="12.75" customHeight="1" x14ac:dyDescent="0.2">
      <c r="A20" s="59"/>
      <c r="B20" s="140" t="str">
        <f>IF(Lang="Français","Élévation",IF(Lang="English","Angle /horizon",""))</f>
        <v>Élévation</v>
      </c>
      <c r="C20" s="626">
        <v>75.426997324279156</v>
      </c>
      <c r="D20" s="626"/>
      <c r="N20" s="58"/>
    </row>
    <row r="21" spans="1:18" ht="12.75" customHeight="1" x14ac:dyDescent="0.2">
      <c r="A21" s="59"/>
      <c r="B21" s="140" t="s">
        <v>6</v>
      </c>
      <c r="C21" s="627">
        <v>0</v>
      </c>
      <c r="D21" s="627"/>
      <c r="N21" s="58"/>
    </row>
    <row r="22" spans="1:18" x14ac:dyDescent="0.2">
      <c r="A22" s="59"/>
      <c r="F22" s="384" t="e">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#N/A</v>
      </c>
      <c r="N22" s="58"/>
    </row>
    <row r="23" spans="1:18" x14ac:dyDescent="0.2">
      <c r="A23" s="59"/>
      <c r="C23" s="613" t="str">
        <f>IF(Lang="Français","DescenteSousParachute",IF(Lang="English","Over Parachute",""))</f>
        <v>DescenteSousParachute</v>
      </c>
      <c r="D23" s="614"/>
      <c r="F23" s="4"/>
      <c r="G23" s="50">
        <f ca="1">TODAY()</f>
        <v>45991</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120</v>
      </c>
      <c r="E24" s="18" t="str">
        <f>IF(ABS(T_satellite-0.11-T_para)&lt;0.1,"Pb!","")</f>
        <v/>
      </c>
      <c r="F24" s="615" t="str">
        <f>IF(Lang="Français","Sortie de Rampe",IF(Lang="English","Launch-Pad Exit",""))</f>
        <v>Sortie de Rampe</v>
      </c>
      <c r="G24" s="616"/>
      <c r="H24" s="491"/>
      <c r="I24" s="491"/>
      <c r="J24" s="491"/>
      <c r="K24" s="492" t="e">
        <f ca="1">INDEX(vit_xz,MATCH("Sortie de rampe",Event,0))</f>
        <v>#N/A</v>
      </c>
      <c r="L24" s="493"/>
      <c r="M24" s="500"/>
      <c r="N24" s="58"/>
    </row>
    <row r="25" spans="1:18" x14ac:dyDescent="0.2">
      <c r="A25" s="59"/>
      <c r="B25" s="466" t="str">
        <f>IF(Lang="Français","Masse",IF(Lang="English","Mass",""))</f>
        <v>Masse</v>
      </c>
      <c r="C25" s="467">
        <f ca="1">IF(Nb_sat="0 satellite",MasseVide,MasseVide-m_satellite)</f>
        <v>2.9792999999999998</v>
      </c>
      <c r="D25" s="480">
        <f>IF(RIGHT(Type_fusee,1)=".",1,0.15)</f>
        <v>0.15</v>
      </c>
      <c r="F25" s="619" t="str">
        <f>IF(Lang="Français","Vit max &amp; Acc max",IF(Lang="English","Max Velocity &amp; Acc",""))</f>
        <v>Vit max &amp; Acc max</v>
      </c>
      <c r="G25" s="620"/>
      <c r="H25" s="115"/>
      <c r="I25" s="115"/>
      <c r="J25" s="115"/>
      <c r="K25" s="158">
        <f ca="1">MAX(vit_xz)</f>
        <v>173.68990099903891</v>
      </c>
      <c r="L25" s="494">
        <f ca="1">MAX(acc_xz)</f>
        <v>50.92609571122825</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4.7</v>
      </c>
      <c r="I26" s="156">
        <f ca="1">IF(T_satellite&lt;&gt;0,INDEX(pos_z,MATCH("Satellite",Event_sat,0)),"")</f>
        <v>579.9361381891955</v>
      </c>
      <c r="J26" s="154">
        <f ca="1">IF(T_satellite&lt;&gt;0,INDEX(pos_x,MATCH("Satellite",Event_sat,0)),"")</f>
        <v>135.06060992324578</v>
      </c>
      <c r="K26" s="159">
        <f ca="1">IF(T_satellite&lt;&gt;0,INDEX(vit_xz,MATCH("Satellite",Event_sat,0)),"")</f>
        <v>156.73396217501522</v>
      </c>
      <c r="L26" s="495"/>
      <c r="M26" s="485">
        <f ca="1">1/2*Rho_moyen*1*V_ouv_sat^2*S_satellite</f>
        <v>300.92780251371903</v>
      </c>
      <c r="N26" s="58"/>
    </row>
    <row r="27" spans="1:18" x14ac:dyDescent="0.2">
      <c r="A27" s="59"/>
      <c r="B27" s="468" t="str">
        <f>IF(Lang="Français","Ouverture para",IF(Lang="English","Opening time",""))</f>
        <v>Ouverture para</v>
      </c>
      <c r="C27" s="507">
        <v>16.399999999999999</v>
      </c>
      <c r="D27" s="507">
        <v>4.7</v>
      </c>
      <c r="F27" s="619" t="s">
        <v>15</v>
      </c>
      <c r="G27" s="620"/>
      <c r="H27" s="153">
        <f ca="1">INDEX(t,MATCH("Apogée",Event,0))</f>
        <v>16.399999999999928</v>
      </c>
      <c r="I27" s="157">
        <f ca="1">INDEX(pos_z,MATCH("Apogée",Event,0))</f>
        <v>1439.2737900663878</v>
      </c>
      <c r="J27" s="155">
        <f ca="1">INDEX(pos_x,MATCH("Apogée",Event,0))</f>
        <v>503.53811287664576</v>
      </c>
      <c r="K27" s="160">
        <f ca="1">INDEX(vit_xz,MATCH("Apogée",Event,0))</f>
        <v>24.352877273600257</v>
      </c>
      <c r="L27" s="496"/>
      <c r="M27" s="500"/>
      <c r="N27" s="58"/>
    </row>
    <row r="28" spans="1:18" x14ac:dyDescent="0.2">
      <c r="A28" s="59"/>
      <c r="B28" s="534" t="s">
        <v>558</v>
      </c>
      <c r="C28" s="507" t="s">
        <v>560</v>
      </c>
      <c r="D28" s="507"/>
      <c r="F28" s="617" t="str">
        <f>IF(Lang="Français","Ouverture parachute fusée",IF(Lang="English","Rocket parachute opening",""))</f>
        <v>Ouverture parachute fusée</v>
      </c>
      <c r="G28" s="618"/>
      <c r="H28" s="152">
        <f>T_para</f>
        <v>16.399999999999999</v>
      </c>
      <c r="I28" s="156">
        <f ca="1">INDEX(pos_z,MATCH("Para",Event_para,0))</f>
        <v>1439.2737900663878</v>
      </c>
      <c r="J28" s="486">
        <f ca="1">INDEX(pos_x,MATCH("Para",Event_para,0))</f>
        <v>503.53811287664576</v>
      </c>
      <c r="K28" s="159">
        <f ca="1">INDEX(vit_xz,MATCH("Para",Event_para,0))</f>
        <v>24.352877273600257</v>
      </c>
      <c r="L28" s="495"/>
      <c r="M28" s="485">
        <f ca="1">1/2*Rho_moyen*1*V_ouverture^2*S_para</f>
        <v>113.51589431112797</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0.3125</v>
      </c>
      <c r="D29" s="17">
        <f>IF(RIGHT(Type_fusee,1)=".",0.1,0.02)</f>
        <v>0.02</v>
      </c>
      <c r="F29" s="606" t="str">
        <f>IF(Lang="Français","Impact balistique",IF(Lang="English","Balistic Impact",""))</f>
        <v>Impact balistique</v>
      </c>
      <c r="G29" s="607"/>
      <c r="H29" s="497">
        <f ca="1">INDEX(t,MATCH("Impact balistique",Event,0))</f>
        <v>37.00000000000022</v>
      </c>
      <c r="I29" s="517" t="s">
        <v>428</v>
      </c>
      <c r="J29" s="487">
        <f ca="1">INDEX(pos_x,MATCH("Impact balistique",Event,0))</f>
        <v>839.7136314269211</v>
      </c>
      <c r="K29" s="501">
        <f ca="1">K47</f>
        <v>104.58819776581853</v>
      </c>
      <c r="L29" s="498"/>
      <c r="M29" s="502">
        <f ca="1">0.5*m_vide*K29^2</f>
        <v>16294.821214844767</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Fusée trop lègère !</v>
      </c>
    </row>
    <row r="31" spans="1:18" x14ac:dyDescent="0.2">
      <c r="A31" s="59"/>
      <c r="B31" s="141" t="str">
        <f>IF(Lang="Français","Vitesse du vent",IF(Lang="English","Wind speed",""))</f>
        <v>Vitesse du vent</v>
      </c>
      <c r="C31" s="144">
        <v>5</v>
      </c>
      <c r="D31" s="144">
        <f>V_vent</f>
        <v>5</v>
      </c>
      <c r="G31" s="483"/>
      <c r="H31" s="484"/>
      <c r="I31" s="488"/>
      <c r="N31" s="58"/>
      <c r="P31" s="384" t="e">
        <f ca="1">IF(OR(AND(Vsortie_de_rampe&lt;20,LEFT(Type_fusee,1)="F"),AND(Vsortie_de_rampe&lt;18, OR(LEFT(Type_fusee,1)=",",LEFT(Type_fusee,4)="Mini",LEFT(Type_fusee,1)="R"))),IF(Lang="Français","Fusée trop lourde ou rampe trop courte !","Rocket too heavy or launch pad too small!"),"")</f>
        <v>#N/A</v>
      </c>
    </row>
    <row r="32" spans="1:18" x14ac:dyDescent="0.2">
      <c r="A32" s="59"/>
      <c r="B32" s="133" t="str">
        <f>IF(Lang="Français","Vitesse descente",IF(Lang="English","Fall velocity",""))</f>
        <v>Vitesse descente</v>
      </c>
      <c r="C32" s="424">
        <f ca="1">SQRT(2*m_vide*g/Rho_moyen/S_para/Cx_para)</f>
        <v>12.357014737568688</v>
      </c>
      <c r="D32" s="424">
        <f>SQRT(2*m_satellite*g/Rho_moyen/S_satellite/Cx_satellite)</f>
        <v>10.960038730752361</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116.47423108516685</v>
      </c>
      <c r="D33" s="132">
        <f ca="1">IF(V_satellite&lt;&gt;0,Alt_sat/V_satellite,0)</f>
        <v>52.91369423375982</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132.87423108516685</v>
      </c>
      <c r="D34" s="132">
        <f ca="1">T_satellite+Dt_satellite</f>
        <v>57.613694233759823</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582.37115542583422</v>
      </c>
      <c r="D35" s="151">
        <f ca="1">IF(V_satellite&lt;&gt;0,Alt_sat*V_vent_sat/V_satellite,0)</f>
        <v>264.56847116879908</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4.5999999999999996</v>
      </c>
      <c r="I42" s="150">
        <v>564.96320263534824</v>
      </c>
      <c r="J42" s="150">
        <v>131.1551130355156</v>
      </c>
      <c r="K42" s="150">
        <v>153.12922149896602</v>
      </c>
      <c r="L42" s="148" t="s">
        <v>14</v>
      </c>
      <c r="M42" s="149">
        <f>Beta_rampe</f>
        <v>75.426997324279156</v>
      </c>
    </row>
    <row r="43" spans="1:16" x14ac:dyDescent="0.2">
      <c r="A43" s="161"/>
      <c r="B43" s="166" t="str">
        <f>IF(Lang="Français","Bord   'a'","Side length 'a'")</f>
        <v>Bord   'a'</v>
      </c>
      <c r="D43" s="162"/>
      <c r="F43" s="620" t="str">
        <f>IF(Lang="Français","Sortie de Rampe",IF(Lang="English","Launch-Pad Exit",""))</f>
        <v>Sortie de Rampe</v>
      </c>
      <c r="G43" s="620"/>
      <c r="H43" s="115" t="e">
        <f ca="1">INDEX(t,MATCH("Sortie de rampe",Event,0))</f>
        <v>#N/A</v>
      </c>
      <c r="I43" s="115" t="e">
        <f ca="1">INDEX(pos_z,MATCH("Sortie de rampe",Event,0))</f>
        <v>#N/A</v>
      </c>
      <c r="J43" s="115" t="e">
        <f ca="1">INDEX(pos_x,MATCH("Sortie de rampe",Event,0))</f>
        <v>#N/A</v>
      </c>
      <c r="K43" s="116" t="e">
        <f ca="1">INDEX(vit_xz,MATCH("Sortie de rampe",Event,0))</f>
        <v>#N/A</v>
      </c>
      <c r="L43" s="116" t="e">
        <f ca="1">INDEX(acc_xz,MATCH("Sortie de rampe",Event,0))</f>
        <v>#N/A</v>
      </c>
      <c r="M43" s="116" t="e">
        <f ca="1">INDEX(BetaD,MATCH("Sortie de rampe",Event,0))</f>
        <v>#N/A</v>
      </c>
    </row>
    <row r="44" spans="1:16" x14ac:dyDescent="0.2">
      <c r="A44" s="161"/>
      <c r="B44" s="167">
        <v>250</v>
      </c>
      <c r="D44" s="162"/>
      <c r="F44" s="620" t="str">
        <f>IF(Lang="Français","Vit max &amp; Acc max",IF(Lang="English","Max Velocity &amp; Acc",""))</f>
        <v>Vit max &amp; Acc max</v>
      </c>
      <c r="G44" s="620"/>
      <c r="H44" s="115" t="s">
        <v>14</v>
      </c>
      <c r="I44" s="115" t="s">
        <v>14</v>
      </c>
      <c r="J44" s="115" t="s">
        <v>14</v>
      </c>
      <c r="K44" s="117">
        <f ca="1">MAX(vit_xz)</f>
        <v>173.68990099903891</v>
      </c>
      <c r="L44" s="118">
        <f ca="1">MAX(acc_xz)</f>
        <v>50.92609571122825</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5.6899999999999764</v>
      </c>
      <c r="I45" s="119">
        <f ca="1">INDEX(pos_z,MATCH("Fin de propulsion",Event,0))</f>
        <v>740.66084492122889</v>
      </c>
      <c r="J45" s="119">
        <f ca="1">INDEX(pos_x,MATCH("Fin de propulsion",Event,0))</f>
        <v>178.43205383395684</v>
      </c>
      <c r="K45" s="119">
        <f ca="1">INDEX(vit_xz,MATCH("Fin de propulsion",Event,0))</f>
        <v>166.25327354038674</v>
      </c>
      <c r="L45" s="116">
        <f ca="1">INDEX(acc_xz,MATCH("Fin de propulsion",Event,0))</f>
        <v>31.257285711885149</v>
      </c>
      <c r="M45" s="116">
        <f ca="1">INDEX(BetaD,MATCH("Fin de propulsion",Event,0))</f>
        <v>74.473710009461101</v>
      </c>
    </row>
    <row r="46" spans="1:16" x14ac:dyDescent="0.2">
      <c r="A46" s="161"/>
      <c r="B46" s="168">
        <v>250</v>
      </c>
      <c r="D46" s="162"/>
      <c r="F46" s="620" t="s">
        <v>15</v>
      </c>
      <c r="G46" s="620"/>
      <c r="H46" s="118">
        <f ca="1">INDEX(t,MATCH("Apogée",Event,0))</f>
        <v>16.399999999999928</v>
      </c>
      <c r="I46" s="117">
        <f ca="1">INDEX(pos_z,MATCH("Apogée",Event,0))</f>
        <v>1439.2737900663878</v>
      </c>
      <c r="J46" s="120">
        <f ca="1">INDEX(pos_x,MATCH("Apogée",Event,0))</f>
        <v>503.53811287664576</v>
      </c>
      <c r="K46" s="120">
        <f ca="1">INDEX(vit_xz,MATCH("Apogée",Event,0))</f>
        <v>24.352877273600257</v>
      </c>
      <c r="L46" s="116">
        <f ca="1">INDEX(acc_xz,MATCH("Apogée",Event,0))</f>
        <v>9.849840887483758</v>
      </c>
      <c r="M46" s="121">
        <f ca="1">INDEX(BetaD,MATCH("Apogée",Event,0))</f>
        <v>1.6794908571600931</v>
      </c>
    </row>
    <row r="47" spans="1:16" x14ac:dyDescent="0.2">
      <c r="A47" s="161"/>
      <c r="B47" s="169" t="s">
        <v>9</v>
      </c>
      <c r="D47" s="162"/>
      <c r="F47" s="635" t="str">
        <f>IF(Lang="Français","Impact balistique",IF(Lang="English","Balistic Impact",""))</f>
        <v>Impact balistique</v>
      </c>
      <c r="G47" s="635"/>
      <c r="H47" s="116">
        <f ca="1">INDEX(t,MATCH("Impact balistique",Event,0))</f>
        <v>37.00000000000022</v>
      </c>
      <c r="I47" s="148" t="s">
        <v>16</v>
      </c>
      <c r="J47" s="117">
        <f ca="1">INDEX(pos_x,MATCH("Impact balistique",Event,0))</f>
        <v>839.7136314269211</v>
      </c>
      <c r="K47" s="119">
        <f ca="1">INDEX(vit_xz,MATCH("Impact balistique",Event,0))</f>
        <v>104.58819776581853</v>
      </c>
      <c r="L47" s="116">
        <f ca="1">INDEX(acc_xz,MATCH("Impact balistique",Event,0))</f>
        <v>0.91994235700044991</v>
      </c>
      <c r="M47" s="116">
        <f ca="1">INDEX(BetaD,MATCH("Impact balistique",Event,0))</f>
        <v>-85.933930755854263</v>
      </c>
    </row>
    <row r="48" spans="1:16" x14ac:dyDescent="0.2">
      <c r="A48" s="161"/>
      <c r="B48" s="174">
        <f>(4*B44*B46+B44^2)/10^6</f>
        <v>0.3125</v>
      </c>
      <c r="D48" s="162"/>
      <c r="F48" s="618" t="str">
        <f>IF(Lang="Français","Ouverture parachute fusée",IF(Lang="English","Rocket parachute opening",""))</f>
        <v>Ouverture parachute fusée</v>
      </c>
      <c r="G48" s="618"/>
      <c r="H48" s="122">
        <f>T_para</f>
        <v>16.399999999999999</v>
      </c>
      <c r="I48" s="123">
        <f ca="1">INDEX(pos_z,MATCH("Para",Event_para,0))</f>
        <v>1439.2737900663878</v>
      </c>
      <c r="J48" s="123">
        <f ca="1">INDEX(pos_x,MATCH("Para",Event_para,0))</f>
        <v>503.53811287664576</v>
      </c>
      <c r="K48" s="123">
        <f ca="1">INDEX(vit_xz,MATCH("Para",Event_para,0))</f>
        <v>24.352877273600257</v>
      </c>
      <c r="L48" s="122">
        <f ca="1">INDEX(acc_xz,MATCH("Para",Event_para,0))</f>
        <v>9.849840887483758</v>
      </c>
      <c r="M48" s="124">
        <f ca="1">INDEX(BetaD,MATCH("Para",Event_para,0))</f>
        <v>1.6794908571600931</v>
      </c>
    </row>
    <row r="49" spans="1:13" x14ac:dyDescent="0.2">
      <c r="A49" s="161"/>
      <c r="D49" s="162"/>
      <c r="F49" s="636" t="str">
        <f>IF(Lang="Français","Impact fusée sous para.",IF(Lang="English","Impact of rocket with para. ",""))</f>
        <v>Impact fusée sous para.</v>
      </c>
      <c r="G49" s="636"/>
      <c r="H49" s="125">
        <f ca="1">T_para+Dt_para</f>
        <v>132.87423108516685</v>
      </c>
      <c r="I49" s="127" t="s">
        <v>16</v>
      </c>
      <c r="J49" s="126" t="str">
        <f ca="1">CONCATENATE(TEXT(X_para-Dx_para,"0")," | ",TEXT(X_para+Dx_para,"0"))</f>
        <v>-79 | 1086</v>
      </c>
      <c r="K49" s="126">
        <f ca="1">V_para</f>
        <v>12.357014737568688</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4.7</v>
      </c>
      <c r="I50" s="123">
        <f ca="1">IF(T_satellite&lt;&gt;0,INDEX(pos_z,MATCH("Satellite",Event_sat,0)),"")</f>
        <v>579.9361381891955</v>
      </c>
      <c r="J50" s="129">
        <f ca="1">IF(T_satellite&lt;&gt;0,INDEX(pos_x,MATCH("Satellite",Event_sat,0)),"")</f>
        <v>135.06060992324578</v>
      </c>
      <c r="K50" s="123">
        <f ca="1">IF(T_satellite&lt;&gt;0,INDEX(vit_xz,MATCH("Satellite",Event_sat,0)),"")</f>
        <v>156.73396217501522</v>
      </c>
      <c r="L50" s="122">
        <f ca="1">IF(T_satellite&lt;&gt;0,INDEX(acc_xz,MATCH("Satellite",Event_sat,0)),"")</f>
        <v>38.999482985638174</v>
      </c>
      <c r="M50" s="124">
        <f ca="1">IF(T_satellite&lt;&gt;0,INDEX(BetaD,MATCH("Satellite",Event_sat,0)),"")</f>
        <v>75.335450523275156</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57.613694233759823</v>
      </c>
      <c r="I51" s="130" t="str">
        <f>IF(T_satellite&lt;&gt;0,"~0","")</f>
        <v>~0</v>
      </c>
      <c r="J51" s="130" t="str">
        <f ca="1">IF(T_satellite&lt;&gt;0,CONCATENATE(TEXT(X_satellite-Dx_sat,"0")," | ",TEXT(X_satellite+Dx_sat,"0")),"")</f>
        <v>-130 | 400</v>
      </c>
      <c r="K51" s="130">
        <f>IF(T_satellite&lt;&gt;0,V_satellite,"")</f>
        <v>10.960038730752361</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4.9700000000000006</v>
      </c>
      <c r="G105" s="478" t="s">
        <v>409</v>
      </c>
      <c r="I105" s="1" t="s">
        <v>560</v>
      </c>
    </row>
    <row r="106" spans="2:9" x14ac:dyDescent="0.2">
      <c r="B106" s="1" t="s">
        <v>121</v>
      </c>
      <c r="F106" s="477">
        <f ca="1">Combustion+Depotage-7</f>
        <v>6.9700000000000006</v>
      </c>
      <c r="G106" s="478" t="s">
        <v>410</v>
      </c>
      <c r="I106" s="1" t="s">
        <v>561</v>
      </c>
    </row>
    <row r="107" spans="2:9" x14ac:dyDescent="0.2">
      <c r="B107" s="1" t="str">
        <f>IF(T_para&gt;0,IF(Lang="Français","Phase ascendante","Climbing phase"),"")</f>
        <v>Phase ascendante</v>
      </c>
      <c r="F107" s="477">
        <f ca="1">Combustion+Depotage-5</f>
        <v>8.9700000000000006</v>
      </c>
      <c r="G107" s="478" t="s">
        <v>411</v>
      </c>
    </row>
    <row r="108" spans="2:9" x14ac:dyDescent="0.2">
      <c r="B108" s="1" t="str">
        <f>IF(Lang="Français","Descente balistique","Balistic fall")</f>
        <v>Descente balistique</v>
      </c>
      <c r="F108" s="477">
        <f ca="1">Combustion+Depotage-3</f>
        <v>10.97</v>
      </c>
      <c r="G108" s="478" t="s">
        <v>412</v>
      </c>
    </row>
    <row r="109" spans="2:9" x14ac:dyDescent="0.2">
      <c r="B109" s="1" t="str">
        <f>IF(T_para&gt;0,IF(Lang="Français","Fusée sous parachute","Rocket under parachute"),"")</f>
        <v>Fusée sous parachute</v>
      </c>
      <c r="F109" s="477">
        <f ca="1">Combustion+Depotage</f>
        <v>13.97</v>
      </c>
      <c r="G109" s="478" t="s">
        <v>413</v>
      </c>
    </row>
    <row r="110" spans="2:9" x14ac:dyDescent="0.2">
      <c r="B110" s="1" t="str">
        <f>IF(AND(Nb_sat="1 satellite",T_satellite&gt;0),IF(Lang="Français","Satellite sous parachute","Satellite over parachute"),"")</f>
        <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16.399999999999999</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1439.2737900663878</v>
      </c>
      <c r="C121" s="216">
        <f ca="1">MAX(Altitude_culmi,Portee_balistique)</f>
        <v>1439.2737900663878</v>
      </c>
    </row>
    <row r="123" spans="2:3" x14ac:dyDescent="0.2">
      <c r="B123" s="210" t="s">
        <v>49</v>
      </c>
      <c r="C123" s="211" t="s">
        <v>45</v>
      </c>
    </row>
    <row r="124" spans="2:3" x14ac:dyDescent="0.2">
      <c r="B124" s="217">
        <f ca="1">X_para</f>
        <v>503.53811287664576</v>
      </c>
      <c r="C124" s="214">
        <f ca="1">Alt_para</f>
        <v>1439.2737900663878</v>
      </c>
    </row>
    <row r="125" spans="2:3" x14ac:dyDescent="0.2">
      <c r="B125" s="217">
        <f ca="1">X_para</f>
        <v>503.53811287664576</v>
      </c>
      <c r="C125" s="214">
        <f ca="1">Alt_para/2</f>
        <v>719.63689503319392</v>
      </c>
    </row>
    <row r="126" spans="2:3" x14ac:dyDescent="0.2">
      <c r="B126" s="217">
        <f ca="1">X_para</f>
        <v>503.53811287664576</v>
      </c>
      <c r="C126" s="214">
        <v>0</v>
      </c>
    </row>
    <row r="127" spans="2:3" x14ac:dyDescent="0.2">
      <c r="B127" s="217">
        <f ca="1">X_para+Alt_para/40</f>
        <v>539.51995762830541</v>
      </c>
      <c r="C127" s="214">
        <f ca="1">Alt_para/20</f>
        <v>71.963689503319387</v>
      </c>
    </row>
    <row r="128" spans="2:3" x14ac:dyDescent="0.2">
      <c r="B128" s="217">
        <f ca="1">X_para</f>
        <v>503.53811287664576</v>
      </c>
      <c r="C128" s="214">
        <v>0</v>
      </c>
    </row>
    <row r="129" spans="2:6" x14ac:dyDescent="0.2">
      <c r="B129" s="217">
        <f ca="1">X_para-Alt_para/40</f>
        <v>467.55626812498605</v>
      </c>
      <c r="C129" s="214">
        <f ca="1">Alt_para/20</f>
        <v>71.963689503319387</v>
      </c>
    </row>
    <row r="130" spans="2:6" x14ac:dyDescent="0.2">
      <c r="B130" s="218">
        <f ca="1">X_para</f>
        <v>503.53811287664576</v>
      </c>
      <c r="C130" s="219">
        <v>0</v>
      </c>
    </row>
    <row r="131" spans="2:6" x14ac:dyDescent="0.2">
      <c r="B131" s="210" t="s">
        <v>48</v>
      </c>
      <c r="C131" s="211" t="s">
        <v>45</v>
      </c>
    </row>
    <row r="132" spans="2:6" x14ac:dyDescent="0.2">
      <c r="B132" s="213">
        <f>T_para</f>
        <v>16.399999999999999</v>
      </c>
      <c r="C132" s="214">
        <f ca="1">Alt_para</f>
        <v>1439.2737900663878</v>
      </c>
    </row>
    <row r="133" spans="2:6" x14ac:dyDescent="0.2">
      <c r="B133" s="213">
        <f ca="1">(B132+B134)/2</f>
        <v>74.63711554258343</v>
      </c>
      <c r="C133" s="214">
        <f ca="1">(C132+C134)/2</f>
        <v>719.63689503319392</v>
      </c>
      <c r="E133" s="232">
        <v>1</v>
      </c>
      <c r="F133" s="233" t="s">
        <v>175</v>
      </c>
    </row>
    <row r="134" spans="2:6" x14ac:dyDescent="0.2">
      <c r="B134" s="213">
        <f ca="1">H49</f>
        <v>132.87423108516685</v>
      </c>
      <c r="C134" s="214">
        <f>0</f>
        <v>0</v>
      </c>
      <c r="E134" s="161">
        <v>1</v>
      </c>
      <c r="F134" s="234" t="s">
        <v>176</v>
      </c>
    </row>
    <row r="135" spans="2:6" x14ac:dyDescent="0.2">
      <c r="B135" s="213">
        <f ca="1">H49+E133*sS/2*zZ_fus-E134*sS*tT_fus</f>
        <v>131.4809035302635</v>
      </c>
      <c r="C135" s="214">
        <f ca="1">Alt_para-V_para*(H49-T_para)+E133*sS*Altitude_culmi/H49*zZ_fus+E134*sS/2*Altitude_culmi/H49*tT_fus</f>
        <v>57.643465793774709</v>
      </c>
      <c r="E135" s="161"/>
      <c r="F135" s="241" t="s">
        <v>177</v>
      </c>
    </row>
    <row r="136" spans="2:6" x14ac:dyDescent="0.2">
      <c r="B136" s="213">
        <f ca="1">H49</f>
        <v>132.87423108516685</v>
      </c>
      <c r="C136" s="214">
        <f ca="1">Alt_para-V_para*(H49-T_para)</f>
        <v>0</v>
      </c>
      <c r="E136" s="235" t="s">
        <v>172</v>
      </c>
      <c r="F136" s="236">
        <f ca="1">T_balistique/10</f>
        <v>3.7000000000000219</v>
      </c>
    </row>
    <row r="137" spans="2:6" x14ac:dyDescent="0.2">
      <c r="B137" s="213">
        <f ca="1">H49-E133*sS/2*zZ_fus-E134*sS*tT_fus</f>
        <v>127.78090353026346</v>
      </c>
      <c r="C137" s="214">
        <f ca="1">Alt_para-V_para*(H49-T_para)+E133*sS*Altitude_culmi/H49*zZ_fus-E134*sS/2*Altitude_culmi/H49*tT_fus</f>
        <v>22.512226995632492</v>
      </c>
      <c r="E137" s="235" t="s">
        <v>173</v>
      </c>
      <c r="F137" s="236">
        <f ca="1">(H49-T_para)/H49</f>
        <v>0.87657501483874412</v>
      </c>
    </row>
    <row r="138" spans="2:6" x14ac:dyDescent="0.2">
      <c r="B138" s="215">
        <f ca="1">H49</f>
        <v>132.87423108516685</v>
      </c>
      <c r="C138" s="216">
        <f ca="1">Alt_para-V_para*(H49-T_para)</f>
        <v>0</v>
      </c>
      <c r="E138" s="237" t="s">
        <v>174</v>
      </c>
      <c r="F138" s="238">
        <f ca="1">V_para*(H49-T_para)/Alt_para</f>
        <v>1</v>
      </c>
    </row>
    <row r="140" spans="2:6" x14ac:dyDescent="0.2">
      <c r="B140" s="210" t="s">
        <v>51</v>
      </c>
      <c r="C140" s="211" t="s">
        <v>46</v>
      </c>
    </row>
    <row r="141" spans="2:6" x14ac:dyDescent="0.2">
      <c r="B141" s="217" t="b">
        <f>IF(Nb_sat="1 satellite",X_satellite)</f>
        <v>0</v>
      </c>
      <c r="C141" s="214" t="b">
        <f>IF(Nb_sat="1 satellite",Alt_sat)</f>
        <v>0</v>
      </c>
    </row>
    <row r="142" spans="2:6" x14ac:dyDescent="0.2">
      <c r="B142" s="217" t="b">
        <f>IF(Nb_sat="1 satellite",X_satellite)</f>
        <v>0</v>
      </c>
      <c r="C142" s="214" t="b">
        <f>IF(Nb_sat="1 satellite",Alt_sat*1/4)</f>
        <v>0</v>
      </c>
    </row>
    <row r="143" spans="2:6" x14ac:dyDescent="0.2">
      <c r="B143" s="217" t="b">
        <f>IF(Nb_sat="1 satellite",X_satellite)</f>
        <v>0</v>
      </c>
      <c r="C143" s="214" t="b">
        <f>IF(Nb_sat="1 satellite",0)</f>
        <v>0</v>
      </c>
    </row>
    <row r="144" spans="2:6" x14ac:dyDescent="0.2">
      <c r="B144" s="217" t="b">
        <f>IF(Nb_sat="1 satellite",X_satellite+Alt_sat/40)</f>
        <v>0</v>
      </c>
      <c r="C144" s="214" t="b">
        <f>IF(Nb_sat="1 satellite",Alt_sat/20)</f>
        <v>0</v>
      </c>
    </row>
    <row r="145" spans="2:6" x14ac:dyDescent="0.2">
      <c r="B145" s="217" t="b">
        <f>IF(Nb_sat="1 satellite",X_satellite)</f>
        <v>0</v>
      </c>
      <c r="C145" s="214" t="b">
        <f>IF(Nb_sat="1 satellite",0)</f>
        <v>0</v>
      </c>
    </row>
    <row r="146" spans="2:6" x14ac:dyDescent="0.2">
      <c r="B146" s="217" t="b">
        <f>IF(Nb_sat="1 satellite",X_satellite-Alt_sat/40)</f>
        <v>0</v>
      </c>
      <c r="C146" s="214" t="b">
        <f>IF(Nb_sat="1 satellite",Alt_sat/20)</f>
        <v>0</v>
      </c>
    </row>
    <row r="147" spans="2:6" x14ac:dyDescent="0.2">
      <c r="B147" s="218" t="b">
        <f>IF(Nb_sat="1 satellite",X_satellite)</f>
        <v>0</v>
      </c>
      <c r="C147" s="214" t="b">
        <f>IF(Nb_sat="1 satellite",0)</f>
        <v>0</v>
      </c>
    </row>
    <row r="148" spans="2:6" x14ac:dyDescent="0.2">
      <c r="B148" s="210" t="s">
        <v>50</v>
      </c>
      <c r="C148" s="211" t="s">
        <v>46</v>
      </c>
    </row>
    <row r="149" spans="2:6" x14ac:dyDescent="0.2">
      <c r="B149" s="213" t="b">
        <f>IF(Nb_sat="1 satellite",T_satellite)</f>
        <v>0</v>
      </c>
      <c r="C149" s="214" t="b">
        <f>IF(Nb_sat="1 satellite",Alt_sat)</f>
        <v>0</v>
      </c>
      <c r="D149" s="221"/>
    </row>
    <row r="150" spans="2:6" x14ac:dyDescent="0.2">
      <c r="B150" s="213">
        <f>(B149+B151)/2</f>
        <v>0</v>
      </c>
      <c r="C150" s="214">
        <f>(C149+C151)/2</f>
        <v>0</v>
      </c>
      <c r="D150" s="221"/>
    </row>
    <row r="151" spans="2:6" x14ac:dyDescent="0.2">
      <c r="B151" s="213" t="b">
        <f>IF(Nb_sat="1 satellite",H51)</f>
        <v>0</v>
      </c>
      <c r="C151" s="214" t="b">
        <f>IF(Nb_sat="1 satellite",0)</f>
        <v>0</v>
      </c>
    </row>
    <row r="152" spans="2:6" x14ac:dyDescent="0.2">
      <c r="B152" s="213" t="b">
        <f>IF(Nb_sat="1 satellite",H51+E133*sS/2*zZ_sat-E134*sS*tT_sat)</f>
        <v>0</v>
      </c>
      <c r="C152" s="214" t="b">
        <f>IF(Nb_sat="1 satellite",Alt_sat-V_satellite*(H51-T_satellite)+E133*sS*Altitude_culmi/H51*zZ_sat+E134*sS/2*Altitude_culmi/H51*tT_sat)</f>
        <v>0</v>
      </c>
      <c r="D152" s="221"/>
    </row>
    <row r="153" spans="2:6" x14ac:dyDescent="0.2">
      <c r="B153" s="213" t="b">
        <f>IF(Nb_sat="1 satellite",H51)</f>
        <v>0</v>
      </c>
      <c r="C153" s="214" t="b">
        <f>IF(Nb_sat="1 satellite",0)</f>
        <v>0</v>
      </c>
    </row>
    <row r="154" spans="2:6" x14ac:dyDescent="0.2">
      <c r="B154" s="213" t="b">
        <f>IF(Nb_sat="1 satellite",H51-sS/2*zZ_sat-E134*sS*tT_sat)</f>
        <v>0</v>
      </c>
      <c r="C154" s="214" t="b">
        <f>IF(Nb_sat="1 satellite",Alt_sat-V_satellite*(H51-T_satellite)+E133*sS*Altitude_culmi/H51*zZ_sat-E134*sS/2*Altitude_culmi/H51*tT_sat)</f>
        <v>0</v>
      </c>
      <c r="E154" s="239" t="s">
        <v>173</v>
      </c>
      <c r="F154" s="240">
        <f ca="1">(T_balistique-T_satellite)/T_balistique</f>
        <v>0.8729729729729736</v>
      </c>
    </row>
    <row r="155" spans="2:6" x14ac:dyDescent="0.2">
      <c r="B155" s="215" t="b">
        <f>IF(Nb_sat="1 satellite",H51)</f>
        <v>0</v>
      </c>
      <c r="C155" s="216" t="b">
        <f>IF(Nb_sat="1 satellite",0)</f>
        <v>0</v>
      </c>
      <c r="E155" s="237" t="s">
        <v>174</v>
      </c>
      <c r="F155" s="238">
        <f ca="1">V_satellite*(T_balistique-T_satellite)/Alt_sat</f>
        <v>0.61042798972429857</v>
      </c>
    </row>
    <row r="157" spans="2:6" x14ac:dyDescent="0.2">
      <c r="B157" s="210" t="s">
        <v>2</v>
      </c>
      <c r="C157" s="228" t="s">
        <v>29</v>
      </c>
      <c r="D157" s="211" t="s">
        <v>3</v>
      </c>
    </row>
    <row r="158" spans="2:6" x14ac:dyDescent="0.2">
      <c r="B158" s="231">
        <f>T_para/4</f>
        <v>4.0999999999999996</v>
      </c>
      <c r="C158" s="82">
        <f ca="1">Alt_para/2</f>
        <v>719.63689503319392</v>
      </c>
      <c r="D158" s="214">
        <f ca="1">X_para/4</f>
        <v>125.88452821916144</v>
      </c>
    </row>
    <row r="159" spans="2:6" x14ac:dyDescent="0.2">
      <c r="B159" s="229">
        <f ca="1">Temps_culmi + (T_balistique-Temps_culmi)/2</f>
        <v>26.700000000000074</v>
      </c>
      <c r="C159" s="230">
        <f ca="1">Altitude_culmi/2</f>
        <v>719.63689503319392</v>
      </c>
      <c r="D159" s="216">
        <f ca="1">X_culmi+(Portee_balistique-X_culmi)*2/3</f>
        <v>727.65512524349595</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503.53811287664576</v>
      </c>
      <c r="E162" s="422"/>
      <c r="F162" s="423" t="s">
        <v>305</v>
      </c>
    </row>
    <row r="163" spans="2:6" x14ac:dyDescent="0.2">
      <c r="B163" s="231" t="e">
        <f ca="1">IF(AND(Altitude_culmi&gt;80, Altitude_culmi&lt;=350), 49, NA())</f>
        <v>#N/A</v>
      </c>
      <c r="C163" s="5">
        <v>23</v>
      </c>
      <c r="D163" s="82">
        <f t="shared" ca="1" si="0"/>
        <v>526.53811287664576</v>
      </c>
      <c r="E163" s="82"/>
      <c r="F163" s="214">
        <f t="shared" ref="F163:F178" ca="1" si="1">X_culmi-C162</f>
        <v>503.53811287664576</v>
      </c>
    </row>
    <row r="164" spans="2:6" x14ac:dyDescent="0.2">
      <c r="B164" s="231" t="e">
        <f ca="1">IF(AND(Altitude_culmi&gt;80, Altitude_culmi&lt;=350), 43, NA())</f>
        <v>#N/A</v>
      </c>
      <c r="C164" s="5">
        <v>23</v>
      </c>
      <c r="D164" s="82">
        <f t="shared" ca="1" si="0"/>
        <v>526.53811287664576</v>
      </c>
      <c r="E164" s="82"/>
      <c r="F164" s="214">
        <f t="shared" ca="1" si="1"/>
        <v>480.53811287664576</v>
      </c>
    </row>
    <row r="165" spans="2:6" x14ac:dyDescent="0.2">
      <c r="B165" s="231" t="e">
        <f ca="1">IF(AND(Altitude_culmi&gt;80, Altitude_culmi&lt;=350), 43, NA())</f>
        <v>#N/A</v>
      </c>
      <c r="C165" s="5">
        <v>0</v>
      </c>
      <c r="D165" s="82">
        <f t="shared" ca="1" si="0"/>
        <v>503.53811287664576</v>
      </c>
      <c r="E165" s="82"/>
      <c r="F165" s="214">
        <f t="shared" ca="1" si="1"/>
        <v>480.53811287664576</v>
      </c>
    </row>
    <row r="166" spans="2:6" x14ac:dyDescent="0.2">
      <c r="B166" s="231" t="e">
        <f ca="1">IF(AND(Altitude_culmi&gt;80, Altitude_culmi&lt;=350), 43, NA())</f>
        <v>#N/A</v>
      </c>
      <c r="C166" s="5">
        <v>23</v>
      </c>
      <c r="D166" s="82">
        <f t="shared" ca="1" si="0"/>
        <v>526.53811287664576</v>
      </c>
      <c r="E166" s="82"/>
      <c r="F166" s="214">
        <f t="shared" ca="1" si="1"/>
        <v>503.53811287664576</v>
      </c>
    </row>
    <row r="167" spans="2:6" x14ac:dyDescent="0.2">
      <c r="B167" s="231" t="e">
        <f ca="1">IF(AND(Altitude_culmi&gt;80, Altitude_culmi&lt;=350), 0.5, NA())</f>
        <v>#N/A</v>
      </c>
      <c r="C167" s="5">
        <v>23</v>
      </c>
      <c r="D167" s="82">
        <f t="shared" ca="1" si="0"/>
        <v>526.53811287664576</v>
      </c>
      <c r="E167" s="82"/>
      <c r="F167" s="214">
        <f t="shared" ca="1" si="1"/>
        <v>480.53811287664576</v>
      </c>
    </row>
    <row r="168" spans="2:6" x14ac:dyDescent="0.2">
      <c r="B168" s="231" t="e">
        <f ca="1">IF(AND(Altitude_culmi&gt;80, Altitude_culmi&lt;=350), 0.5, NA())</f>
        <v>#N/A</v>
      </c>
      <c r="C168" s="5">
        <v>8</v>
      </c>
      <c r="D168" s="82">
        <f t="shared" ca="1" si="0"/>
        <v>511.53811287664576</v>
      </c>
      <c r="E168" s="82"/>
      <c r="F168" s="214">
        <f t="shared" ca="1" si="1"/>
        <v>480.53811287664576</v>
      </c>
    </row>
    <row r="169" spans="2:6" x14ac:dyDescent="0.2">
      <c r="B169" s="231" t="e">
        <f ca="1">IF(AND(Altitude_culmi&gt;80, Altitude_culmi&lt;=350), 27, NA())</f>
        <v>#N/A</v>
      </c>
      <c r="C169" s="5">
        <v>8</v>
      </c>
      <c r="D169" s="82">
        <f t="shared" ca="1" si="0"/>
        <v>511.53811287664576</v>
      </c>
      <c r="E169" s="82"/>
      <c r="F169" s="214">
        <f t="shared" ca="1" si="1"/>
        <v>495.53811287664576</v>
      </c>
    </row>
    <row r="170" spans="2:6" x14ac:dyDescent="0.2">
      <c r="B170" s="231" t="e">
        <f ca="1">IF(AND(Altitude_culmi&gt;80, Altitude_culmi&lt;=350), 27, NA())</f>
        <v>#N/A</v>
      </c>
      <c r="C170" s="5">
        <v>23</v>
      </c>
      <c r="D170" s="82">
        <f t="shared" ca="1" si="0"/>
        <v>526.53811287664576</v>
      </c>
      <c r="E170" s="82"/>
      <c r="F170" s="214">
        <f t="shared" ca="1" si="1"/>
        <v>495.53811287664576</v>
      </c>
    </row>
    <row r="171" spans="2:6" x14ac:dyDescent="0.2">
      <c r="B171" s="231" t="e">
        <f ca="1">IF(AND(Altitude_culmi&gt;80, Altitude_culmi&lt;=350), 27, NA())</f>
        <v>#N/A</v>
      </c>
      <c r="C171" s="5">
        <v>8</v>
      </c>
      <c r="D171" s="82">
        <f t="shared" ca="1" si="0"/>
        <v>511.53811287664576</v>
      </c>
      <c r="E171" s="82"/>
      <c r="F171" s="214">
        <f t="shared" ca="1" si="1"/>
        <v>480.53811287664576</v>
      </c>
    </row>
    <row r="172" spans="2:6" x14ac:dyDescent="0.2">
      <c r="B172" s="231" t="e">
        <f ca="1">IF(AND(Altitude_culmi&gt;80, Altitude_culmi&lt;=350), 29, NA())</f>
        <v>#N/A</v>
      </c>
      <c r="C172" s="5">
        <v>7.6</v>
      </c>
      <c r="D172" s="82">
        <f t="shared" ca="1" si="0"/>
        <v>511.13811287664578</v>
      </c>
      <c r="E172" s="82"/>
      <c r="F172" s="214">
        <f t="shared" ca="1" si="1"/>
        <v>495.53811287664576</v>
      </c>
    </row>
    <row r="173" spans="2:6" x14ac:dyDescent="0.2">
      <c r="B173" s="231" t="e">
        <f ca="1">IF(AND(Altitude_culmi&gt;80, Altitude_culmi&lt;=350), 31, NA())</f>
        <v>#N/A</v>
      </c>
      <c r="C173" s="5">
        <v>6.8</v>
      </c>
      <c r="D173" s="82">
        <f t="shared" ca="1" si="0"/>
        <v>510.33811287664577</v>
      </c>
      <c r="E173" s="82"/>
      <c r="F173" s="214">
        <f t="shared" ca="1" si="1"/>
        <v>495.93811287664573</v>
      </c>
    </row>
    <row r="174" spans="2:6" x14ac:dyDescent="0.2">
      <c r="B174" s="231" t="e">
        <f ca="1">IF(AND(Altitude_culmi&gt;80, Altitude_culmi&lt;=350), 32, NA())</f>
        <v>#N/A</v>
      </c>
      <c r="C174" s="5">
        <v>6</v>
      </c>
      <c r="D174" s="82">
        <f t="shared" ca="1" si="0"/>
        <v>509.53811287664576</v>
      </c>
      <c r="E174" s="82"/>
      <c r="F174" s="214">
        <f t="shared" ca="1" si="1"/>
        <v>496.73811287664574</v>
      </c>
    </row>
    <row r="175" spans="2:6" x14ac:dyDescent="0.2">
      <c r="B175" s="231" t="e">
        <f ca="1">IF(AND(Altitude_culmi&gt;80, Altitude_culmi&lt;=350), 33, NA())</f>
        <v>#N/A</v>
      </c>
      <c r="C175" s="5">
        <v>5</v>
      </c>
      <c r="D175" s="82">
        <f t="shared" ca="1" si="0"/>
        <v>508.53811287664576</v>
      </c>
      <c r="E175" s="82"/>
      <c r="F175" s="214">
        <f t="shared" ca="1" si="1"/>
        <v>497.53811287664576</v>
      </c>
    </row>
    <row r="176" spans="2:6" x14ac:dyDescent="0.2">
      <c r="B176" s="231" t="e">
        <f ca="1">IF(AND(Altitude_culmi&gt;80, Altitude_culmi&lt;=350), 34, NA())</f>
        <v>#N/A</v>
      </c>
      <c r="C176" s="5">
        <v>3.8</v>
      </c>
      <c r="D176" s="82">
        <f t="shared" ca="1" si="0"/>
        <v>507.33811287664577</v>
      </c>
      <c r="E176" s="82"/>
      <c r="F176" s="214">
        <f t="shared" ca="1" si="1"/>
        <v>498.53811287664576</v>
      </c>
    </row>
    <row r="177" spans="2:6" x14ac:dyDescent="0.2">
      <c r="B177" s="229" t="e">
        <f ca="1">IF(AND(Altitude_culmi&gt;80, Altitude_culmi&lt;=350), 35, NA())</f>
        <v>#N/A</v>
      </c>
      <c r="C177" s="421">
        <v>0</v>
      </c>
      <c r="D177" s="230">
        <f t="shared" ca="1" si="0"/>
        <v>503.53811287664576</v>
      </c>
      <c r="E177" s="82"/>
      <c r="F177" s="214">
        <f t="shared" ca="1" si="1"/>
        <v>499.73811287664574</v>
      </c>
    </row>
    <row r="178" spans="2:6" x14ac:dyDescent="0.2">
      <c r="E178" s="230"/>
      <c r="F178" s="216">
        <f t="shared" ca="1" si="1"/>
        <v>503.53811287664576</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503.53811287664576</v>
      </c>
      <c r="E180" s="228"/>
      <c r="F180" s="211" t="s">
        <v>308</v>
      </c>
    </row>
    <row r="181" spans="2:6" x14ac:dyDescent="0.2">
      <c r="B181" s="231">
        <f ca="1">IF(Altitude_culmi&gt;350, 300, NA())</f>
        <v>300</v>
      </c>
      <c r="C181" s="5">
        <v>0</v>
      </c>
      <c r="D181" s="82">
        <f t="shared" ca="1" si="2"/>
        <v>503.53811287664576</v>
      </c>
      <c r="E181" s="82"/>
      <c r="F181" s="214">
        <f t="shared" ref="F181:F201" ca="1" si="3">X_culmi-C180</f>
        <v>503.53811287664576</v>
      </c>
    </row>
    <row r="182" spans="2:6" x14ac:dyDescent="0.2">
      <c r="B182" s="231">
        <f ca="1">IF(Altitude_culmi&gt;350, 280, NA())</f>
        <v>280</v>
      </c>
      <c r="C182" s="5">
        <v>10</v>
      </c>
      <c r="D182" s="82">
        <f t="shared" ca="1" si="2"/>
        <v>513.53811287664576</v>
      </c>
      <c r="E182" s="82"/>
      <c r="F182" s="214">
        <f t="shared" ca="1" si="3"/>
        <v>503.53811287664576</v>
      </c>
    </row>
    <row r="183" spans="2:6" x14ac:dyDescent="0.2">
      <c r="B183" s="231">
        <f ca="1">IF(Altitude_culmi&gt;350, 280, NA())</f>
        <v>280</v>
      </c>
      <c r="C183" s="5">
        <v>0</v>
      </c>
      <c r="D183" s="82">
        <f t="shared" ca="1" si="2"/>
        <v>503.53811287664576</v>
      </c>
      <c r="E183" s="82"/>
      <c r="F183" s="214">
        <f t="shared" ca="1" si="3"/>
        <v>493.53811287664576</v>
      </c>
    </row>
    <row r="184" spans="2:6" x14ac:dyDescent="0.2">
      <c r="B184" s="231">
        <f ca="1">IF(Altitude_culmi&gt;350, 280, NA())</f>
        <v>280</v>
      </c>
      <c r="C184" s="5">
        <v>10</v>
      </c>
      <c r="D184" s="82">
        <f t="shared" ca="1" si="2"/>
        <v>513.53811287664576</v>
      </c>
      <c r="E184" s="82"/>
      <c r="F184" s="214">
        <f t="shared" ca="1" si="3"/>
        <v>503.53811287664576</v>
      </c>
    </row>
    <row r="185" spans="2:6" x14ac:dyDescent="0.2">
      <c r="B185" s="231">
        <f ca="1">IF(Altitude_culmi&gt;350, 200, NA())</f>
        <v>200</v>
      </c>
      <c r="C185" s="5">
        <v>13</v>
      </c>
      <c r="D185" s="82">
        <f t="shared" ca="1" si="2"/>
        <v>516.53811287664576</v>
      </c>
      <c r="E185" s="82"/>
      <c r="F185" s="214">
        <f t="shared" ca="1" si="3"/>
        <v>493.53811287664576</v>
      </c>
    </row>
    <row r="186" spans="2:6" x14ac:dyDescent="0.2">
      <c r="B186" s="231">
        <f ca="1">IF(Altitude_culmi&gt;350, 160, NA())</f>
        <v>160</v>
      </c>
      <c r="C186" s="5">
        <v>17</v>
      </c>
      <c r="D186" s="82">
        <f t="shared" ca="1" si="2"/>
        <v>520.53811287664576</v>
      </c>
      <c r="E186" s="82"/>
      <c r="F186" s="214">
        <f t="shared" ca="1" si="3"/>
        <v>490.53811287664576</v>
      </c>
    </row>
    <row r="187" spans="2:6" x14ac:dyDescent="0.2">
      <c r="B187" s="231">
        <f ca="1">IF(Altitude_culmi&gt;350, 115, NA())</f>
        <v>115</v>
      </c>
      <c r="C187" s="5">
        <v>20</v>
      </c>
      <c r="D187" s="82">
        <f t="shared" ca="1" si="2"/>
        <v>523.53811287664576</v>
      </c>
      <c r="E187" s="82"/>
      <c r="F187" s="214">
        <f t="shared" ca="1" si="3"/>
        <v>486.53811287664576</v>
      </c>
    </row>
    <row r="188" spans="2:6" x14ac:dyDescent="0.2">
      <c r="B188" s="231">
        <f ca="1">IF(Altitude_culmi&gt;350, 90, NA())</f>
        <v>90</v>
      </c>
      <c r="C188" s="5">
        <v>25</v>
      </c>
      <c r="D188" s="82">
        <f t="shared" ca="1" si="2"/>
        <v>528.53811287664576</v>
      </c>
      <c r="E188" s="82"/>
      <c r="F188" s="214">
        <f t="shared" ca="1" si="3"/>
        <v>483.53811287664576</v>
      </c>
    </row>
    <row r="189" spans="2:6" x14ac:dyDescent="0.2">
      <c r="B189" s="231">
        <f ca="1">IF(Altitude_culmi&gt;350, 57, NA())</f>
        <v>57</v>
      </c>
      <c r="C189" s="5">
        <v>30</v>
      </c>
      <c r="D189" s="82">
        <f t="shared" ca="1" si="2"/>
        <v>533.53811287664576</v>
      </c>
      <c r="E189" s="82"/>
      <c r="F189" s="214">
        <f t="shared" ca="1" si="3"/>
        <v>478.53811287664576</v>
      </c>
    </row>
    <row r="190" spans="2:6" x14ac:dyDescent="0.2">
      <c r="B190" s="231">
        <f ca="1">IF(Altitude_culmi&gt;350, 40, NA())</f>
        <v>40</v>
      </c>
      <c r="C190" s="5">
        <v>36</v>
      </c>
      <c r="D190" s="82">
        <f t="shared" ca="1" si="2"/>
        <v>539.53811287664576</v>
      </c>
      <c r="E190" s="82"/>
      <c r="F190" s="214">
        <f t="shared" ca="1" si="3"/>
        <v>473.53811287664576</v>
      </c>
    </row>
    <row r="191" spans="2:6" x14ac:dyDescent="0.2">
      <c r="B191" s="231">
        <f ca="1">IF(Altitude_culmi&gt;350, 20, NA())</f>
        <v>20</v>
      </c>
      <c r="C191" s="5">
        <v>48</v>
      </c>
      <c r="D191" s="82">
        <f t="shared" ca="1" si="2"/>
        <v>551.53811287664576</v>
      </c>
      <c r="E191" s="82"/>
      <c r="F191" s="214">
        <f t="shared" ca="1" si="3"/>
        <v>467.53811287664576</v>
      </c>
    </row>
    <row r="192" spans="2:6" x14ac:dyDescent="0.2">
      <c r="B192" s="231">
        <f ca="1">IF(Altitude_culmi&gt;350, 0.5, NA())</f>
        <v>0.5</v>
      </c>
      <c r="C192" s="5">
        <v>62</v>
      </c>
      <c r="D192" s="82">
        <f t="shared" ca="1" si="2"/>
        <v>565.53811287664576</v>
      </c>
      <c r="E192" s="82"/>
      <c r="F192" s="214">
        <f t="shared" ca="1" si="3"/>
        <v>455.53811287664576</v>
      </c>
    </row>
    <row r="193" spans="2:6" x14ac:dyDescent="0.2">
      <c r="B193" s="231">
        <f ca="1">IF(Altitude_culmi&gt;350, 0.5, NA())</f>
        <v>0.5</v>
      </c>
      <c r="C193" s="5">
        <v>37</v>
      </c>
      <c r="D193" s="82">
        <f t="shared" ca="1" si="2"/>
        <v>540.53811287664576</v>
      </c>
      <c r="E193" s="82"/>
      <c r="F193" s="214">
        <f t="shared" ca="1" si="3"/>
        <v>441.53811287664576</v>
      </c>
    </row>
    <row r="194" spans="2:6" x14ac:dyDescent="0.2">
      <c r="B194" s="231">
        <f ca="1">IF(Altitude_culmi&gt;350, 15, NA())</f>
        <v>15</v>
      </c>
      <c r="C194" s="5">
        <v>30</v>
      </c>
      <c r="D194" s="82">
        <f t="shared" ca="1" si="2"/>
        <v>533.53811287664576</v>
      </c>
      <c r="E194" s="82"/>
      <c r="F194" s="214">
        <f t="shared" ca="1" si="3"/>
        <v>466.53811287664576</v>
      </c>
    </row>
    <row r="195" spans="2:6" x14ac:dyDescent="0.2">
      <c r="B195" s="231">
        <f ca="1">IF(Altitude_culmi&gt;350, 30, NA())</f>
        <v>30</v>
      </c>
      <c r="C195" s="5">
        <v>15</v>
      </c>
      <c r="D195" s="82">
        <f t="shared" ca="1" si="2"/>
        <v>518.53811287664576</v>
      </c>
      <c r="E195" s="82"/>
      <c r="F195" s="214">
        <f t="shared" ca="1" si="3"/>
        <v>473.53811287664576</v>
      </c>
    </row>
    <row r="196" spans="2:6" x14ac:dyDescent="0.2">
      <c r="B196" s="231">
        <f ca="1">IF(Altitude_culmi&gt;350, 37, NA())</f>
        <v>37</v>
      </c>
      <c r="C196" s="5">
        <v>0</v>
      </c>
      <c r="D196" s="82">
        <f t="shared" ca="1" si="2"/>
        <v>503.53811287664576</v>
      </c>
      <c r="E196" s="82"/>
      <c r="F196" s="214">
        <f t="shared" ca="1" si="3"/>
        <v>488.53811287664576</v>
      </c>
    </row>
    <row r="197" spans="2:6" x14ac:dyDescent="0.2">
      <c r="B197" s="231">
        <f ca="1">IF(Altitude_culmi&gt;350, 67, NA())</f>
        <v>67</v>
      </c>
      <c r="C197" s="5">
        <v>0</v>
      </c>
      <c r="D197" s="82">
        <f t="shared" ca="1" si="2"/>
        <v>503.53811287664576</v>
      </c>
      <c r="E197" s="82"/>
      <c r="F197" s="214">
        <f t="shared" ca="1" si="3"/>
        <v>503.53811287664576</v>
      </c>
    </row>
    <row r="198" spans="2:6" x14ac:dyDescent="0.2">
      <c r="B198" s="231">
        <f ca="1">IF(Altitude_culmi&gt;350, 67, NA())</f>
        <v>67</v>
      </c>
      <c r="C198" s="5">
        <v>17</v>
      </c>
      <c r="D198" s="82">
        <f t="shared" ca="1" si="2"/>
        <v>520.53811287664576</v>
      </c>
      <c r="E198" s="82"/>
      <c r="F198" s="214">
        <f t="shared" ca="1" si="3"/>
        <v>503.53811287664576</v>
      </c>
    </row>
    <row r="199" spans="2:6" x14ac:dyDescent="0.2">
      <c r="B199" s="231">
        <f ca="1">IF(Altitude_culmi&gt;350, 100, NA())</f>
        <v>100</v>
      </c>
      <c r="C199" s="5">
        <v>11</v>
      </c>
      <c r="D199" s="82">
        <f t="shared" ca="1" si="2"/>
        <v>514.53811287664576</v>
      </c>
      <c r="E199" s="82"/>
      <c r="F199" s="214">
        <f t="shared" ca="1" si="3"/>
        <v>486.53811287664576</v>
      </c>
    </row>
    <row r="200" spans="2:6" x14ac:dyDescent="0.2">
      <c r="B200" s="229">
        <f ca="1">IF(Altitude_culmi&gt;350, 100, NA())</f>
        <v>100</v>
      </c>
      <c r="C200" s="421">
        <v>0</v>
      </c>
      <c r="D200" s="230">
        <f t="shared" ca="1" si="2"/>
        <v>503.53811287664576</v>
      </c>
      <c r="E200" s="82"/>
      <c r="F200" s="214">
        <f t="shared" ca="1" si="3"/>
        <v>492.53811287664576</v>
      </c>
    </row>
    <row r="201" spans="2:6" x14ac:dyDescent="0.2">
      <c r="E201" s="230"/>
      <c r="F201" s="216">
        <f t="shared" ca="1" si="3"/>
        <v>503.53811287664576</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zoomScale="80" zoomScaleNormal="80" workbookViewId="0">
      <selection activeCell="R15" sqref="R15"/>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Pandora (Pro24-6G BS)</v>
      </c>
      <c r="B2" s="352">
        <f>VLOOKUP(A2,A26:B314,2,FALSE)</f>
        <v>198</v>
      </c>
      <c r="C2" s="363" t="s">
        <v>115</v>
      </c>
      <c r="D2" s="353">
        <f ca="1">INDIRECT(ADDRESS(B2,4))</f>
        <v>142.44</v>
      </c>
      <c r="E2" s="363" t="s">
        <v>114</v>
      </c>
      <c r="F2" s="354">
        <f ca="1">INDIRECT(ADDRESS(B2,6))</f>
        <v>192.06187401906058</v>
      </c>
      <c r="G2" s="363" t="s">
        <v>56</v>
      </c>
      <c r="H2" s="355">
        <f ca="1">INDIRECT(ADDRESS(B2,8))</f>
        <v>0.15989999999999999</v>
      </c>
      <c r="I2" s="363" t="s">
        <v>273</v>
      </c>
      <c r="J2" s="356">
        <f ca="1">INDIRECT(ADDRESS(B2,10))</f>
        <v>7.5599999999999987E-2</v>
      </c>
      <c r="K2" s="363" t="s">
        <v>58</v>
      </c>
      <c r="L2" s="355">
        <f ca="1">INDIRECT(ADDRESS(B2,12))</f>
        <v>8.43E-2</v>
      </c>
      <c r="M2" s="363" t="s">
        <v>57</v>
      </c>
      <c r="N2" s="357">
        <f ca="1">INDIRECT(ADDRESS(B2,14))</f>
        <v>114</v>
      </c>
      <c r="O2" s="363" t="s">
        <v>59</v>
      </c>
      <c r="P2" s="357">
        <f ca="1">INDIRECT(ADDRESS(B2,16))</f>
        <v>114</v>
      </c>
      <c r="Q2" s="363" t="s">
        <v>60</v>
      </c>
      <c r="R2" s="357">
        <f ca="1">INDIRECT(ADDRESS(B2,18))</f>
        <v>228</v>
      </c>
      <c r="S2" s="363" t="s">
        <v>61</v>
      </c>
      <c r="T2" s="357">
        <f ca="1">INDIRECT(ADDRESS(B2,20))</f>
        <v>24</v>
      </c>
      <c r="U2" s="363" t="s">
        <v>54</v>
      </c>
      <c r="V2" s="358" t="str">
        <f ca="1">INDIRECT(ADDRESS(B2,22))</f>
        <v>MiniN</v>
      </c>
      <c r="W2" s="463" t="s">
        <v>394</v>
      </c>
      <c r="X2" s="464">
        <f ca="1">INDIRECT(ADDRESS(B2,24))</f>
        <v>0.97</v>
      </c>
      <c r="Y2" s="463" t="s">
        <v>393</v>
      </c>
      <c r="Z2" s="358">
        <f ca="1">INDIRECT(ADDRESS(B2,26))</f>
        <v>13</v>
      </c>
    </row>
    <row r="3" spans="1:26" x14ac:dyDescent="0.2">
      <c r="A3" s="362" t="str">
        <f>IF(Lang="Français","Temps (en s)","Time (s)")</f>
        <v>Temps (en s)</v>
      </c>
      <c r="B3" s="364">
        <f t="shared" ref="B3:Y3" ca="1" si="0">INDIRECT(ADDRESS($B2+1,COLUMN(B3)))</f>
        <v>0</v>
      </c>
      <c r="C3" s="365">
        <f t="shared" ca="1" si="0"/>
        <v>0.02</v>
      </c>
      <c r="D3" s="365">
        <f t="shared" ca="1" si="0"/>
        <v>0.04</v>
      </c>
      <c r="E3" s="365">
        <f t="shared" ca="1" si="0"/>
        <v>0.62</v>
      </c>
      <c r="F3" s="365">
        <f t="shared" ca="1" si="0"/>
        <v>0.66</v>
      </c>
      <c r="G3" s="365">
        <f t="shared" ca="1" si="0"/>
        <v>0.68</v>
      </c>
      <c r="H3" s="365">
        <f t="shared" ca="1" si="0"/>
        <v>0.8</v>
      </c>
      <c r="I3" s="365">
        <f t="shared" ca="1" si="0"/>
        <v>0.84</v>
      </c>
      <c r="J3" s="365">
        <f t="shared" ca="1" si="0"/>
        <v>0.88</v>
      </c>
      <c r="K3" s="365">
        <f t="shared" ca="1" si="0"/>
        <v>0.92</v>
      </c>
      <c r="L3" s="365">
        <f t="shared" ca="1" si="0"/>
        <v>0.96</v>
      </c>
      <c r="M3" s="365">
        <f t="shared" ca="1" si="0"/>
        <v>1</v>
      </c>
      <c r="N3" s="365">
        <f t="shared" ca="1" si="0"/>
        <v>1.08</v>
      </c>
      <c r="O3" s="365">
        <f t="shared" ca="1" si="0"/>
        <v>2</v>
      </c>
      <c r="P3" s="365">
        <f t="shared" ca="1" si="0"/>
        <v>2</v>
      </c>
      <c r="Q3" s="365">
        <f t="shared" ca="1" si="0"/>
        <v>2</v>
      </c>
      <c r="R3" s="365">
        <f t="shared" ca="1" si="0"/>
        <v>2</v>
      </c>
      <c r="S3" s="365">
        <f t="shared" ca="1" si="0"/>
        <v>2</v>
      </c>
      <c r="T3" s="365">
        <f t="shared" ca="1" si="0"/>
        <v>2</v>
      </c>
      <c r="U3" s="365">
        <f t="shared" ca="1" si="0"/>
        <v>2</v>
      </c>
      <c r="V3" s="365">
        <f t="shared" ca="1" si="0"/>
        <v>2</v>
      </c>
      <c r="W3" s="365">
        <f t="shared" ca="1" si="0"/>
        <v>2</v>
      </c>
      <c r="X3" s="365">
        <f ca="1">INDIRECT(ADDRESS($B2+1,COLUMN(X3)))</f>
        <v>2</v>
      </c>
      <c r="Y3" s="366">
        <f t="shared" ca="1" si="0"/>
        <v>1000</v>
      </c>
    </row>
    <row r="4" spans="1:26" ht="13.5" thickBot="1" x14ac:dyDescent="0.25">
      <c r="A4" s="379" t="str">
        <f>IF(Lang="Français","Poussée (en N)","Thrust (N)")</f>
        <v>Poussée (en N)</v>
      </c>
      <c r="B4" s="367">
        <f t="shared" ref="B4:Y4" ca="1" si="1">INDIRECT(ADDRESS($B2+2,COLUMN(B3)))</f>
        <v>0</v>
      </c>
      <c r="C4" s="368">
        <f t="shared" ca="1" si="1"/>
        <v>250</v>
      </c>
      <c r="D4" s="368">
        <f t="shared" ca="1" si="1"/>
        <v>210</v>
      </c>
      <c r="E4" s="368">
        <f t="shared" ca="1" si="1"/>
        <v>160</v>
      </c>
      <c r="F4" s="368">
        <f t="shared" ca="1" si="1"/>
        <v>150</v>
      </c>
      <c r="G4" s="368">
        <f t="shared" ca="1" si="1"/>
        <v>142</v>
      </c>
      <c r="H4" s="368">
        <f t="shared" ca="1" si="1"/>
        <v>62</v>
      </c>
      <c r="I4" s="368">
        <f t="shared" ca="1" si="1"/>
        <v>48</v>
      </c>
      <c r="J4" s="368">
        <f t="shared" ca="1" si="1"/>
        <v>34</v>
      </c>
      <c r="K4" s="368">
        <f t="shared" ca="1" si="1"/>
        <v>24</v>
      </c>
      <c r="L4" s="368">
        <f t="shared" ca="1" si="1"/>
        <v>15</v>
      </c>
      <c r="M4" s="368">
        <f t="shared" ca="1" si="1"/>
        <v>10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p24-1G 24E22</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p24-1G 25E75 (Rufina)</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p24-1G 26E31</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p24-2G 50E51</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p24-1G 53E70</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p29-1G 41F36</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p29-1G 51F36</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p29-1G 55F29</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p29-1G 56F120</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p29-1G 57F59</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p24-3G 60F50</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p24-3G 68F79</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p24-3G 68F240</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p24-3G 73F30</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p24-3G 74F85</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p24-3G 75F51</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p29-2G 84G88</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p29-2G 93G80</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p29-2G 110G250</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p29-2G 116G126</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p29-3G 125G131</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p38-1G 128G185</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p38-1G 137G58</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p38-1G 141G78</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p24-6G 140G145 PK</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Pandora (Pro24-6G BS)</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p24-6G 142G117 WT</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p24-6G 139G107 DT</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Cariacou</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Wapiti</v>
      </c>
      <c r="C346" s="638" t="s">
        <v>183</v>
      </c>
      <c r="D346" s="638"/>
      <c r="F346" s="638" t="s">
        <v>183</v>
      </c>
      <c r="G346" s="638"/>
      <c r="I346" s="638" t="s">
        <v>183</v>
      </c>
      <c r="J346" s="638"/>
      <c r="L346" s="638" t="s">
        <v>183</v>
      </c>
      <c r="M346" s="638"/>
      <c r="O346" s="652" t="str">
        <f>A258</f>
        <v>Wapiti</v>
      </c>
      <c r="P346" s="653"/>
      <c r="R346" s="638" t="s">
        <v>183</v>
      </c>
      <c r="S346" s="638"/>
    </row>
  </sheetData>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128" activePane="bottomRight" state="frozen"/>
      <selection pane="topRight" activeCell="D1" sqref="D1"/>
      <selection pane="bottomLeft" activeCell="A8" sqref="A8"/>
      <selection pane="bottomRight" activeCell="B144" sqref="B144"/>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4.5999999999999996</v>
      </c>
      <c r="D4" s="292" t="s">
        <v>14</v>
      </c>
      <c r="E4" s="293" t="s">
        <v>14</v>
      </c>
      <c r="F4" s="294" t="s">
        <v>14</v>
      </c>
      <c r="G4" s="292">
        <f>vit_xz*COS(Beta)</f>
        <v>38.529356904449145</v>
      </c>
      <c r="H4" s="293">
        <f>vit_xz*SIN(Beta)</f>
        <v>148.2027230971448</v>
      </c>
      <c r="I4" s="349">
        <f>V_ini</f>
        <v>153.12922149896602</v>
      </c>
      <c r="J4" s="350">
        <f>X_ini</f>
        <v>131.1551130355156</v>
      </c>
      <c r="K4" s="351">
        <f>Z_ini</f>
        <v>564.96320263534824</v>
      </c>
      <c r="L4" s="327">
        <f t="shared" ref="L4:L67" si="0">SQRT(pos_x^2+pos_z^2)</f>
        <v>579.98714124310413</v>
      </c>
      <c r="M4" s="292">
        <f>RADIANS(N4)</f>
        <v>1.3164494482016245</v>
      </c>
      <c r="N4" s="349">
        <f>Beta_rampe</f>
        <v>75.426997324279156</v>
      </c>
      <c r="P4" s="292" t="s">
        <v>14</v>
      </c>
      <c r="Q4" s="294" t="s">
        <v>14</v>
      </c>
      <c r="R4" s="292" t="s">
        <v>14</v>
      </c>
      <c r="S4" s="351">
        <f ca="1">m_tot</f>
        <v>3.0548999999999999</v>
      </c>
      <c r="T4" s="327">
        <f t="shared" ref="T4:T67" ca="1" si="1">m*g</f>
        <v>29.968569000000002</v>
      </c>
      <c r="U4" s="328">
        <f t="shared" ref="U4:U67" si="2">IF(pos_xz&lt;L_rampe,Poids*COS(Beta),0)</f>
        <v>0</v>
      </c>
      <c r="V4" s="329">
        <f t="shared" ref="V4:V67" si="3">Rho_moyen*(20000-Alt_rampe-pos_z)/(20000+Alt_rampe+pos_z)</f>
        <v>1.1576932981684489</v>
      </c>
      <c r="W4" s="327">
        <f t="shared" ref="W4:W67" si="4">1/2*Rho*Sref*Cx*vit_xz^2</f>
        <v>55.588190581541461</v>
      </c>
      <c r="Y4" s="295" t="s">
        <v>14</v>
      </c>
      <c r="Z4" s="296" t="s">
        <v>14</v>
      </c>
      <c r="AA4" s="297" t="s">
        <v>14</v>
      </c>
      <c r="AC4" s="320">
        <f>IF(ABS(t-ROUND(t,0))&lt;0.001,t,-1)</f>
        <v>-1</v>
      </c>
      <c r="AD4" s="321">
        <f>IF(ABS(t-ROUND(t,0))&lt;0.001,pos_x,-1)</f>
        <v>-1</v>
      </c>
      <c r="AE4" s="322">
        <f t="shared" ref="AE4:AE67" si="5">IF(t&lt;T_para, pos_z, NA())</f>
        <v>564.96320263534824</v>
      </c>
      <c r="AG4" s="292" t="s">
        <v>14</v>
      </c>
      <c r="AH4" s="294" t="s">
        <v>14</v>
      </c>
    </row>
    <row r="5" spans="1:248" x14ac:dyDescent="0.2">
      <c r="A5" s="347">
        <f t="shared" ref="A5:A68" ca="1" si="6">IF(B4+0.01&lt;=T_ini+ROUNDUP(Temps_fin_propu,0), 0.01, IF(K4&gt;0, 0.1, 0.0001))</f>
        <v>0.01</v>
      </c>
      <c r="B5" s="304">
        <f t="shared" ref="B5:B68" ca="1" si="7">B4+pas</f>
        <v>4.6099999999999994</v>
      </c>
      <c r="D5" s="306">
        <f t="shared" ref="D5:D68" ca="1" si="8">IF(AND(L4&lt;L_rampe,Poussee&lt;Poids*SIN(M4)),0,(-W4+Poussee)/m*COS(M4)-U4/m*SIN(M4))</f>
        <v>0.56934512006738447</v>
      </c>
      <c r="E5" s="307">
        <f t="shared" ref="E5:E68" ca="1" si="9">IF(AND(L4&lt;L_rampe,Poussee&lt;Poids*SIN(M4)),0,(-W4+Poussee)/m*SIN(M4)+U4/m*COS(M4)-Poids/m)</f>
        <v>-7.6200206192044257</v>
      </c>
      <c r="F5" s="304">
        <f t="shared" ref="F5:F68" ca="1" si="10">SQRT(acc_x^2+acc_z^2)</f>
        <v>7.641260897446517</v>
      </c>
      <c r="G5" s="306">
        <f t="shared" ref="G5:G68" ca="1" si="11">G4+acc_x*pas</f>
        <v>38.535050355649815</v>
      </c>
      <c r="H5" s="307">
        <f t="shared" ref="H5:H68" ca="1" si="12">H4+acc_z*pas</f>
        <v>148.12652289095274</v>
      </c>
      <c r="I5" s="304">
        <f t="shared" ref="I5:I68" ca="1" si="13">SQRT(vit_x^2+vit_z^2)</f>
        <v>153.05690735695796</v>
      </c>
      <c r="J5" s="306">
        <f t="shared" ref="J5:J68" ca="1" si="14">J4+0.5*(vit_x+G4)*pas*(K4&gt;=0)</f>
        <v>131.54043507181609</v>
      </c>
      <c r="K5" s="307">
        <f t="shared" ref="K5:K68" ca="1" si="15">K4+0.5*(vit_z+H4)*pas</f>
        <v>566.44484886528869</v>
      </c>
      <c r="L5" s="304">
        <f t="shared" ca="1" si="0"/>
        <v>581.51754304139649</v>
      </c>
      <c r="M5" s="306">
        <f t="shared" ref="M5:M68" ca="1" si="16">IF(AND(L4&gt;L_rampe,G5&gt;0),ATAN2(G5,H5),$M$4)</f>
        <v>1.3162881796219263</v>
      </c>
      <c r="N5" s="304">
        <f t="shared" ref="N5:N68" ca="1" si="17">DEGREES(Beta)</f>
        <v>75.417757315294395</v>
      </c>
      <c r="P5" s="310">
        <f t="shared" ref="P5:P68" ca="1" si="18">MATCH(t-pas/2-T_ini,CdP_t)</f>
        <v>1</v>
      </c>
      <c r="Q5" s="304">
        <f t="shared" ref="Q5:Q68" ca="1" si="19">(INDEX(CdP,2,i_P+1)-INDEX(CdP,2,i_P+0))/(INDEX(CdP,1,i_P+1)-INDEX(CdP,1,i_P+0))*(t-pas/2-T_ini-INDEX(CdP,1,i_P+0))+INDEX(CdP,2,i_P+0)</f>
        <v>62.499999999998664</v>
      </c>
      <c r="R5" s="306">
        <f t="shared" ref="R5:R68" ca="1" si="20">Poussee/(g*ISP)</f>
        <v>3.3171861836562053E-2</v>
      </c>
      <c r="S5" s="307">
        <f t="shared" ref="S5:S68" ca="1" si="21">S4-Débit*pas</f>
        <v>3.0545682813816342</v>
      </c>
      <c r="T5" s="304">
        <f t="shared" ca="1" si="1"/>
        <v>29.965314840353834</v>
      </c>
      <c r="U5" s="311">
        <f t="shared" ca="1" si="2"/>
        <v>0</v>
      </c>
      <c r="V5" s="306">
        <f t="shared" ca="1" si="3"/>
        <v>1.1575216443620531</v>
      </c>
      <c r="W5" s="304">
        <f t="shared" ca="1" si="4"/>
        <v>55.527466350823076</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566.44484886528869</v>
      </c>
      <c r="AG5" s="306">
        <f t="shared" ref="AG5:AG68" ca="1" si="27">IF(AND(L4&lt;L_rampe,Poussee&lt;Poids*SIN(M4)),0,(-W4+Poussee)/m-Poids*SIN(M4)/m)</f>
        <v>-7.2316132325996438</v>
      </c>
      <c r="AH5" s="304">
        <f t="shared" ref="AH5:AH68" ca="1" si="28">IF(AND(L4&lt;L_rampe,Poussee&lt;Poids*SIN(M4)), g*SIN(M4), (-W4+Poussee)/m)</f>
        <v>2.2627778401898655</v>
      </c>
    </row>
    <row r="6" spans="1:248" x14ac:dyDescent="0.2">
      <c r="A6" s="347">
        <f t="shared" ca="1" si="6"/>
        <v>0.01</v>
      </c>
      <c r="B6" s="304">
        <f t="shared" ca="1" si="7"/>
        <v>4.6199999999999992</v>
      </c>
      <c r="D6" s="306">
        <f t="shared" ca="1" si="8"/>
        <v>10.881235927527531</v>
      </c>
      <c r="E6" s="307">
        <f t="shared" ca="1" si="9"/>
        <v>32.016846671408324</v>
      </c>
      <c r="F6" s="304">
        <f t="shared" ca="1" si="10"/>
        <v>33.815377657080603</v>
      </c>
      <c r="G6" s="306">
        <f t="shared" ca="1" si="11"/>
        <v>38.643862714925092</v>
      </c>
      <c r="H6" s="307">
        <f t="shared" ca="1" si="12"/>
        <v>148.44669135766682</v>
      </c>
      <c r="I6" s="304">
        <f t="shared" ca="1" si="13"/>
        <v>153.39415992979775</v>
      </c>
      <c r="J6" s="306">
        <f t="shared" ca="1" si="14"/>
        <v>131.92632963716898</v>
      </c>
      <c r="K6" s="307">
        <f t="shared" ca="1" si="15"/>
        <v>567.92771493653174</v>
      </c>
      <c r="L6" s="304">
        <f t="shared" ca="1" si="0"/>
        <v>583.04926536662867</v>
      </c>
      <c r="M6" s="306">
        <f t="shared" ca="1" si="16"/>
        <v>1.3161271657917906</v>
      </c>
      <c r="N6" s="304">
        <f t="shared" ca="1" si="17"/>
        <v>75.408531902384382</v>
      </c>
      <c r="P6" s="310">
        <f t="shared" ca="1" si="18"/>
        <v>1</v>
      </c>
      <c r="Q6" s="304">
        <f t="shared" ca="1" si="19"/>
        <v>187.49999999999599</v>
      </c>
      <c r="R6" s="306">
        <f t="shared" ca="1" si="20"/>
        <v>9.9515585509686158E-2</v>
      </c>
      <c r="S6" s="307">
        <f t="shared" ca="1" si="21"/>
        <v>3.0535731255265373</v>
      </c>
      <c r="T6" s="304">
        <f t="shared" ca="1" si="1"/>
        <v>29.955552361415332</v>
      </c>
      <c r="U6" s="311">
        <f t="shared" ca="1" si="2"/>
        <v>0</v>
      </c>
      <c r="V6" s="306">
        <f t="shared" ca="1" si="3"/>
        <v>1.1573498739941581</v>
      </c>
      <c r="W6" s="304">
        <f t="shared" ca="1" si="4"/>
        <v>55.764163103386672</v>
      </c>
      <c r="Y6" s="314" t="str">
        <f t="shared" ca="1" si="22"/>
        <v/>
      </c>
      <c r="Z6" s="315" t="str">
        <f t="shared" ca="1" si="23"/>
        <v/>
      </c>
      <c r="AA6" s="316" t="str">
        <f t="shared" ca="1" si="24"/>
        <v/>
      </c>
      <c r="AC6" s="310" t="e">
        <f t="shared" ca="1" si="25"/>
        <v>#N/A</v>
      </c>
      <c r="AD6" s="323" t="e">
        <f t="shared" ca="1" si="26"/>
        <v>#N/A</v>
      </c>
      <c r="AE6" s="324">
        <f t="shared" ca="1" si="5"/>
        <v>567.92771493653174</v>
      </c>
      <c r="AG6" s="306">
        <f t="shared" ca="1" si="27"/>
        <v>33.725058443321608</v>
      </c>
      <c r="AH6" s="304">
        <f t="shared" ca="1" si="28"/>
        <v>43.219051329061095</v>
      </c>
    </row>
    <row r="7" spans="1:248" x14ac:dyDescent="0.2">
      <c r="A7" s="347">
        <f t="shared" ca="1" si="6"/>
        <v>0.01</v>
      </c>
      <c r="B7" s="304">
        <f t="shared" ca="1" si="7"/>
        <v>4.629999999999999</v>
      </c>
      <c r="D7" s="306">
        <f t="shared" ca="1" si="8"/>
        <v>15.206129892059488</v>
      </c>
      <c r="E7" s="307">
        <f t="shared" ca="1" si="9"/>
        <v>48.602889194933624</v>
      </c>
      <c r="F7" s="304">
        <f t="shared" ca="1" si="10"/>
        <v>50.92609571122825</v>
      </c>
      <c r="G7" s="306">
        <f t="shared" ca="1" si="11"/>
        <v>38.795924013845685</v>
      </c>
      <c r="H7" s="307">
        <f t="shared" ca="1" si="12"/>
        <v>148.93272024961615</v>
      </c>
      <c r="I7" s="304">
        <f t="shared" ca="1" si="13"/>
        <v>153.90282284948032</v>
      </c>
      <c r="J7" s="306">
        <f t="shared" ca="1" si="14"/>
        <v>132.31352857081282</v>
      </c>
      <c r="K7" s="307">
        <f t="shared" ca="1" si="15"/>
        <v>569.41461199456819</v>
      </c>
      <c r="L7" s="304">
        <f t="shared" ca="1" si="0"/>
        <v>584.58521209126036</v>
      </c>
      <c r="M7" s="306">
        <f t="shared" ca="1" si="16"/>
        <v>1.3159665848026052</v>
      </c>
      <c r="N7" s="304">
        <f t="shared" ca="1" si="17"/>
        <v>75.399331289434016</v>
      </c>
      <c r="P7" s="310">
        <f t="shared" ca="1" si="18"/>
        <v>2</v>
      </c>
      <c r="Q7" s="304">
        <f t="shared" ca="1" si="19"/>
        <v>240.00000000000108</v>
      </c>
      <c r="R7" s="306">
        <f t="shared" ca="1" si="20"/>
        <v>0.12737994945240158</v>
      </c>
      <c r="S7" s="307">
        <f t="shared" ca="1" si="21"/>
        <v>3.052299326032013</v>
      </c>
      <c r="T7" s="304">
        <f t="shared" ca="1" si="1"/>
        <v>29.94305638837405</v>
      </c>
      <c r="U7" s="311">
        <f t="shared" ca="1" si="2"/>
        <v>0</v>
      </c>
      <c r="V7" s="306">
        <f t="shared" ca="1" si="3"/>
        <v>1.1571776615571163</v>
      </c>
      <c r="W7" s="304">
        <f t="shared" ca="1" si="4"/>
        <v>56.126257189429722</v>
      </c>
      <c r="Y7" s="314" t="str">
        <f t="shared" ca="1" si="22"/>
        <v/>
      </c>
      <c r="Z7" s="315" t="str">
        <f t="shared" ca="1" si="23"/>
        <v/>
      </c>
      <c r="AA7" s="316" t="str">
        <f t="shared" ca="1" si="24"/>
        <v/>
      </c>
      <c r="AC7" s="310" t="e">
        <f t="shared" ca="1" si="25"/>
        <v>#N/A</v>
      </c>
      <c r="AD7" s="323" t="e">
        <f t="shared" ca="1" si="26"/>
        <v>#N/A</v>
      </c>
      <c r="AE7" s="324">
        <f t="shared" ca="1" si="5"/>
        <v>569.41461199456819</v>
      </c>
      <c r="AG7" s="306">
        <f t="shared" ca="1" si="27"/>
        <v>50.866093539390107</v>
      </c>
      <c r="AH7" s="304">
        <f t="shared" ca="1" si="28"/>
        <v>60.359688620749026</v>
      </c>
    </row>
    <row r="8" spans="1:248" x14ac:dyDescent="0.2">
      <c r="A8" s="347">
        <f t="shared" ca="1" si="6"/>
        <v>0.01</v>
      </c>
      <c r="B8" s="304">
        <f t="shared" ca="1" si="7"/>
        <v>4.6399999999999988</v>
      </c>
      <c r="D8" s="306">
        <f t="shared" ca="1" si="8"/>
        <v>13.539042035594372</v>
      </c>
      <c r="E8" s="307">
        <f t="shared" ca="1" si="9"/>
        <v>42.164696084448082</v>
      </c>
      <c r="F8" s="304">
        <f t="shared" ca="1" si="10"/>
        <v>44.285068083220366</v>
      </c>
      <c r="G8" s="306">
        <f t="shared" ca="1" si="11"/>
        <v>38.931314434201632</v>
      </c>
      <c r="H8" s="307">
        <f t="shared" ca="1" si="12"/>
        <v>149.35436721046062</v>
      </c>
      <c r="I8" s="304">
        <f t="shared" ca="1" si="13"/>
        <v>154.34498452626113</v>
      </c>
      <c r="J8" s="306">
        <f t="shared" ca="1" si="14"/>
        <v>132.70216476305305</v>
      </c>
      <c r="K8" s="307">
        <f t="shared" ca="1" si="15"/>
        <v>570.90604743186861</v>
      </c>
      <c r="L8" s="304">
        <f t="shared" ca="1" si="0"/>
        <v>586.12590757198188</v>
      </c>
      <c r="M8" s="306">
        <f t="shared" ca="1" si="16"/>
        <v>1.3158063650701837</v>
      </c>
      <c r="N8" s="304">
        <f t="shared" ca="1" si="17"/>
        <v>75.390151374971552</v>
      </c>
      <c r="P8" s="310">
        <f t="shared" ca="1" si="18"/>
        <v>2</v>
      </c>
      <c r="Q8" s="304">
        <f t="shared" ca="1" si="19"/>
        <v>220.00000000000148</v>
      </c>
      <c r="R8" s="306">
        <f t="shared" ca="1" si="20"/>
        <v>0.1167649536647017</v>
      </c>
      <c r="S8" s="307">
        <f t="shared" ca="1" si="21"/>
        <v>3.0511316764953662</v>
      </c>
      <c r="T8" s="304">
        <f t="shared" ca="1" si="1"/>
        <v>29.931601746419545</v>
      </c>
      <c r="U8" s="311">
        <f t="shared" ca="1" si="2"/>
        <v>0</v>
      </c>
      <c r="V8" s="306">
        <f t="shared" ca="1" si="3"/>
        <v>1.1570049484945901</v>
      </c>
      <c r="W8" s="304">
        <f t="shared" ca="1" si="4"/>
        <v>56.440795851816226</v>
      </c>
      <c r="Y8" s="314" t="str">
        <f t="shared" ca="1" si="22"/>
        <v/>
      </c>
      <c r="Z8" s="315" t="str">
        <f t="shared" ca="1" si="23"/>
        <v/>
      </c>
      <c r="AA8" s="316" t="str">
        <f t="shared" ca="1" si="24"/>
        <v/>
      </c>
      <c r="AC8" s="310" t="e">
        <f t="shared" ca="1" si="25"/>
        <v>#N/A</v>
      </c>
      <c r="AD8" s="323" t="e">
        <f t="shared" ca="1" si="26"/>
        <v>#N/A</v>
      </c>
      <c r="AE8" s="324">
        <f t="shared" ca="1" si="5"/>
        <v>570.90604743186861</v>
      </c>
      <c r="AG8" s="306">
        <f t="shared" ca="1" si="27"/>
        <v>44.215969573499954</v>
      </c>
      <c r="AH8" s="304">
        <f t="shared" ca="1" si="28"/>
        <v>53.709167674730679</v>
      </c>
    </row>
    <row r="9" spans="1:248" x14ac:dyDescent="0.2">
      <c r="A9" s="347">
        <f t="shared" ca="1" si="6"/>
        <v>0.01</v>
      </c>
      <c r="B9" s="304">
        <f t="shared" ca="1" si="7"/>
        <v>4.6499999999999986</v>
      </c>
      <c r="D9" s="306">
        <f t="shared" ca="1" si="8"/>
        <v>12.663654015837389</v>
      </c>
      <c r="E9" s="307">
        <f t="shared" ca="1" si="9"/>
        <v>38.772280346692021</v>
      </c>
      <c r="F9" s="304">
        <f t="shared" ca="1" si="10"/>
        <v>40.787962149576863</v>
      </c>
      <c r="G9" s="306">
        <f t="shared" ca="1" si="11"/>
        <v>39.057950974360004</v>
      </c>
      <c r="H9" s="307">
        <f t="shared" ca="1" si="12"/>
        <v>149.74209001392754</v>
      </c>
      <c r="I9" s="304">
        <f t="shared" ca="1" si="13"/>
        <v>154.7521148677933</v>
      </c>
      <c r="J9" s="306">
        <f t="shared" ca="1" si="14"/>
        <v>133.09211109009587</v>
      </c>
      <c r="K9" s="307">
        <f t="shared" ca="1" si="15"/>
        <v>572.40152971799057</v>
      </c>
      <c r="L9" s="304">
        <f t="shared" ca="1" si="0"/>
        <v>587.6708443150078</v>
      </c>
      <c r="M9" s="306">
        <f t="shared" ca="1" si="16"/>
        <v>1.3156464685685993</v>
      </c>
      <c r="N9" s="304">
        <f t="shared" ca="1" si="17"/>
        <v>75.380989980271863</v>
      </c>
      <c r="P9" s="310">
        <f t="shared" ca="1" si="18"/>
        <v>3</v>
      </c>
      <c r="Q9" s="304">
        <f t="shared" ca="1" si="19"/>
        <v>209.56896551724145</v>
      </c>
      <c r="R9" s="306">
        <f t="shared" ca="1" si="20"/>
        <v>0.11122868430990909</v>
      </c>
      <c r="S9" s="307">
        <f t="shared" ca="1" si="21"/>
        <v>3.0500193896522672</v>
      </c>
      <c r="T9" s="304">
        <f t="shared" ca="1" si="1"/>
        <v>29.920690212488743</v>
      </c>
      <c r="U9" s="311">
        <f t="shared" ca="1" si="2"/>
        <v>0</v>
      </c>
      <c r="V9" s="306">
        <f t="shared" ca="1" si="3"/>
        <v>1.1568317919381823</v>
      </c>
      <c r="W9" s="304">
        <f t="shared" ca="1" si="4"/>
        <v>56.730455487829836</v>
      </c>
      <c r="Y9" s="314" t="str">
        <f t="shared" ca="1" si="22"/>
        <v/>
      </c>
      <c r="Z9" s="315" t="str">
        <f t="shared" ca="1" si="23"/>
        <v/>
      </c>
      <c r="AA9" s="316" t="str">
        <f t="shared" ca="1" si="24"/>
        <v/>
      </c>
      <c r="AC9" s="310" t="e">
        <f t="shared" ca="1" si="25"/>
        <v>#N/A</v>
      </c>
      <c r="AD9" s="323" t="e">
        <f t="shared" ca="1" si="26"/>
        <v>#N/A</v>
      </c>
      <c r="AE9" s="324">
        <f t="shared" ca="1" si="5"/>
        <v>572.40152971799057</v>
      </c>
      <c r="AG9" s="306">
        <f t="shared" ca="1" si="27"/>
        <v>40.712836326690656</v>
      </c>
      <c r="AH9" s="304">
        <f t="shared" ca="1" si="28"/>
        <v>50.20563809690514</v>
      </c>
    </row>
    <row r="10" spans="1:248" x14ac:dyDescent="0.2">
      <c r="A10" s="347">
        <f t="shared" ca="1" si="6"/>
        <v>0.01</v>
      </c>
      <c r="B10" s="304">
        <f t="shared" ca="1" si="7"/>
        <v>4.6599999999999984</v>
      </c>
      <c r="D10" s="306">
        <f t="shared" ca="1" si="8"/>
        <v>12.580685028117568</v>
      </c>
      <c r="E10" s="307">
        <f t="shared" ca="1" si="9"/>
        <v>38.422383494821055</v>
      </c>
      <c r="F10" s="304">
        <f t="shared" ca="1" si="10"/>
        <v>40.429607828914179</v>
      </c>
      <c r="G10" s="306">
        <f t="shared" ca="1" si="11"/>
        <v>39.183757824641177</v>
      </c>
      <c r="H10" s="307">
        <f t="shared" ca="1" si="12"/>
        <v>150.12631384887575</v>
      </c>
      <c r="I10" s="304">
        <f t="shared" ca="1" si="13"/>
        <v>155.15565406104696</v>
      </c>
      <c r="J10" s="306">
        <f t="shared" ca="1" si="14"/>
        <v>133.48331963409086</v>
      </c>
      <c r="K10" s="307">
        <f t="shared" ca="1" si="15"/>
        <v>573.90087173730456</v>
      </c>
      <c r="L10" s="304">
        <f t="shared" ca="1" si="0"/>
        <v>589.21982926695102</v>
      </c>
      <c r="M10" s="306">
        <f t="shared" ca="1" si="16"/>
        <v>1.3154868901099788</v>
      </c>
      <c r="N10" s="304">
        <f t="shared" ca="1" si="17"/>
        <v>75.371846808091703</v>
      </c>
      <c r="P10" s="310">
        <f t="shared" ca="1" si="18"/>
        <v>3</v>
      </c>
      <c r="Q10" s="304">
        <f t="shared" ca="1" si="19"/>
        <v>208.70689655172424</v>
      </c>
      <c r="R10" s="306">
        <f t="shared" ca="1" si="20"/>
        <v>0.11077114138802549</v>
      </c>
      <c r="S10" s="307">
        <f t="shared" ca="1" si="21"/>
        <v>3.0489116782383867</v>
      </c>
      <c r="T10" s="304">
        <f t="shared" ca="1" si="1"/>
        <v>29.909823563518575</v>
      </c>
      <c r="U10" s="311">
        <f t="shared" ca="1" si="2"/>
        <v>0</v>
      </c>
      <c r="V10" s="306">
        <f t="shared" ca="1" si="3"/>
        <v>1.1566582137475001</v>
      </c>
      <c r="W10" s="304">
        <f t="shared" ca="1" si="4"/>
        <v>57.018150833748273</v>
      </c>
      <c r="Y10" s="314" t="str">
        <f t="shared" ca="1" si="22"/>
        <v/>
      </c>
      <c r="Z10" s="315" t="str">
        <f t="shared" ca="1" si="23"/>
        <v/>
      </c>
      <c r="AA10" s="316" t="str">
        <f t="shared" ca="1" si="24"/>
        <v/>
      </c>
      <c r="AC10" s="310" t="e">
        <f t="shared" ca="1" si="25"/>
        <v>#N/A</v>
      </c>
      <c r="AD10" s="323" t="e">
        <f t="shared" ca="1" si="26"/>
        <v>#N/A</v>
      </c>
      <c r="AE10" s="324">
        <f t="shared" ca="1" si="5"/>
        <v>573.90087173730456</v>
      </c>
      <c r="AG10" s="306">
        <f t="shared" ca="1" si="27"/>
        <v>40.353721771222659</v>
      </c>
      <c r="AH10" s="304">
        <f t="shared" ca="1" si="28"/>
        <v>49.846127767041125</v>
      </c>
    </row>
    <row r="11" spans="1:248" x14ac:dyDescent="0.2">
      <c r="A11" s="347">
        <f t="shared" ca="1" si="6"/>
        <v>0.01</v>
      </c>
      <c r="B11" s="304">
        <f t="shared" ca="1" si="7"/>
        <v>4.6699999999999982</v>
      </c>
      <c r="D11" s="306">
        <f t="shared" ca="1" si="8"/>
        <v>12.497667248699114</v>
      </c>
      <c r="E11" s="307">
        <f t="shared" ca="1" si="9"/>
        <v>38.072817267136386</v>
      </c>
      <c r="F11" s="304">
        <f t="shared" ca="1" si="10"/>
        <v>40.071574729675461</v>
      </c>
      <c r="G11" s="306">
        <f t="shared" ca="1" si="11"/>
        <v>39.308734497128171</v>
      </c>
      <c r="H11" s="307">
        <f t="shared" ca="1" si="12"/>
        <v>150.50704202154711</v>
      </c>
      <c r="I11" s="304">
        <f t="shared" ca="1" si="13"/>
        <v>155.55560518940314</v>
      </c>
      <c r="J11" s="306">
        <f t="shared" ca="1" si="14"/>
        <v>133.87578209569972</v>
      </c>
      <c r="K11" s="307">
        <f t="shared" ca="1" si="15"/>
        <v>575.40403851665667</v>
      </c>
      <c r="L11" s="304">
        <f t="shared" ca="1" si="0"/>
        <v>590.77282653572797</v>
      </c>
      <c r="M11" s="306">
        <f t="shared" ca="1" si="16"/>
        <v>1.3153276245688195</v>
      </c>
      <c r="N11" s="304">
        <f t="shared" ca="1" si="17"/>
        <v>75.362721564761401</v>
      </c>
      <c r="P11" s="310">
        <f t="shared" ca="1" si="18"/>
        <v>3</v>
      </c>
      <c r="Q11" s="304">
        <f t="shared" ca="1" si="19"/>
        <v>207.844827586207</v>
      </c>
      <c r="R11" s="306">
        <f t="shared" ca="1" si="20"/>
        <v>0.11031359846614187</v>
      </c>
      <c r="S11" s="307">
        <f t="shared" ca="1" si="21"/>
        <v>3.0478085422537253</v>
      </c>
      <c r="T11" s="304">
        <f t="shared" ca="1" si="1"/>
        <v>29.899001799509048</v>
      </c>
      <c r="U11" s="311">
        <f t="shared" ca="1" si="2"/>
        <v>0</v>
      </c>
      <c r="V11" s="306">
        <f t="shared" ca="1" si="3"/>
        <v>1.156484218160343</v>
      </c>
      <c r="W11" s="304">
        <f t="shared" ca="1" si="4"/>
        <v>57.303864290892122</v>
      </c>
      <c r="Y11" s="314" t="str">
        <f t="shared" ca="1" si="22"/>
        <v/>
      </c>
      <c r="Z11" s="315" t="str">
        <f t="shared" ca="1" si="23"/>
        <v/>
      </c>
      <c r="AA11" s="316" t="str">
        <f t="shared" ca="1" si="24"/>
        <v/>
      </c>
      <c r="AC11" s="310" t="e">
        <f t="shared" ca="1" si="25"/>
        <v>#N/A</v>
      </c>
      <c r="AD11" s="323" t="e">
        <f t="shared" ca="1" si="26"/>
        <v>#N/A</v>
      </c>
      <c r="AE11" s="324">
        <f t="shared" ca="1" si="5"/>
        <v>575.40403851665667</v>
      </c>
      <c r="AG11" s="306">
        <f t="shared" ca="1" si="27"/>
        <v>39.994915548236627</v>
      </c>
      <c r="AH11" s="304">
        <f t="shared" ca="1" si="28"/>
        <v>49.48692631490848</v>
      </c>
    </row>
    <row r="12" spans="1:248" x14ac:dyDescent="0.2">
      <c r="A12" s="347">
        <f t="shared" ca="1" si="6"/>
        <v>0.01</v>
      </c>
      <c r="B12" s="304">
        <f t="shared" ca="1" si="7"/>
        <v>4.6799999999999979</v>
      </c>
      <c r="D12" s="306">
        <f t="shared" ca="1" si="8"/>
        <v>12.414603357948977</v>
      </c>
      <c r="E12" s="307">
        <f t="shared" ca="1" si="9"/>
        <v>37.723588989291301</v>
      </c>
      <c r="F12" s="304">
        <f t="shared" ca="1" si="10"/>
        <v>39.71387091141051</v>
      </c>
      <c r="G12" s="306">
        <f t="shared" ca="1" si="11"/>
        <v>39.432880530707664</v>
      </c>
      <c r="H12" s="307">
        <f t="shared" ca="1" si="12"/>
        <v>150.88427791144002</v>
      </c>
      <c r="I12" s="304">
        <f t="shared" ca="1" si="13"/>
        <v>155.95197141365585</v>
      </c>
      <c r="J12" s="306">
        <f t="shared" ca="1" si="14"/>
        <v>134.26949017083891</v>
      </c>
      <c r="K12" s="307">
        <f t="shared" ca="1" si="15"/>
        <v>576.9109951163216</v>
      </c>
      <c r="L12" s="304">
        <f t="shared" ca="1" si="0"/>
        <v>592.32980026066673</v>
      </c>
      <c r="M12" s="306">
        <f t="shared" ca="1" si="16"/>
        <v>1.3151686668807323</v>
      </c>
      <c r="N12" s="304">
        <f t="shared" ca="1" si="17"/>
        <v>75.353613960112853</v>
      </c>
      <c r="P12" s="310">
        <f t="shared" ca="1" si="18"/>
        <v>3</v>
      </c>
      <c r="Q12" s="304">
        <f t="shared" ca="1" si="19"/>
        <v>206.98275862068979</v>
      </c>
      <c r="R12" s="306">
        <f t="shared" ca="1" si="20"/>
        <v>0.10985605554425826</v>
      </c>
      <c r="S12" s="307">
        <f t="shared" ca="1" si="21"/>
        <v>3.0467099816982826</v>
      </c>
      <c r="T12" s="304">
        <f t="shared" ca="1" si="1"/>
        <v>29.888224920460154</v>
      </c>
      <c r="U12" s="311">
        <f t="shared" ca="1" si="2"/>
        <v>0</v>
      </c>
      <c r="V12" s="306">
        <f t="shared" ca="1" si="3"/>
        <v>1.1563098094086888</v>
      </c>
      <c r="W12" s="304">
        <f t="shared" ca="1" si="4"/>
        <v>57.587578543224126</v>
      </c>
      <c r="Y12" s="314" t="str">
        <f t="shared" ca="1" si="22"/>
        <v/>
      </c>
      <c r="Z12" s="315" t="str">
        <f t="shared" ca="1" si="23"/>
        <v/>
      </c>
      <c r="AA12" s="316" t="str">
        <f t="shared" ca="1" si="24"/>
        <v/>
      </c>
      <c r="AC12" s="310" t="e">
        <f t="shared" ca="1" si="25"/>
        <v>#N/A</v>
      </c>
      <c r="AD12" s="323" t="e">
        <f t="shared" ca="1" si="26"/>
        <v>#N/A</v>
      </c>
      <c r="AE12" s="324">
        <f t="shared" ca="1" si="5"/>
        <v>576.9109951163216</v>
      </c>
      <c r="AG12" s="306">
        <f t="shared" ca="1" si="27"/>
        <v>39.636425399087017</v>
      </c>
      <c r="AH12" s="304">
        <f t="shared" ca="1" si="28"/>
        <v>49.128041470610995</v>
      </c>
    </row>
    <row r="13" spans="1:248" x14ac:dyDescent="0.2">
      <c r="A13" s="347">
        <f t="shared" ca="1" si="6"/>
        <v>0.01</v>
      </c>
      <c r="B13" s="304">
        <f t="shared" ca="1" si="7"/>
        <v>4.6899999999999977</v>
      </c>
      <c r="D13" s="306">
        <f t="shared" ca="1" si="8"/>
        <v>12.331496008958306</v>
      </c>
      <c r="E13" s="307">
        <f t="shared" ca="1" si="9"/>
        <v>37.374705906294281</v>
      </c>
      <c r="F13" s="304">
        <f t="shared" ca="1" si="10"/>
        <v>39.356504359520336</v>
      </c>
      <c r="G13" s="306">
        <f t="shared" ca="1" si="11"/>
        <v>39.556195490797244</v>
      </c>
      <c r="H13" s="307">
        <f t="shared" ca="1" si="12"/>
        <v>151.25802497050296</v>
      </c>
      <c r="I13" s="304">
        <f t="shared" ca="1" si="13"/>
        <v>156.34475597116605</v>
      </c>
      <c r="J13" s="306">
        <f t="shared" ca="1" si="14"/>
        <v>134.66443555094642</v>
      </c>
      <c r="K13" s="307">
        <f t="shared" ca="1" si="15"/>
        <v>578.42170663073136</v>
      </c>
      <c r="L13" s="304">
        <f t="shared" ca="1" si="0"/>
        <v>593.89071461327194</v>
      </c>
      <c r="M13" s="306">
        <f t="shared" ca="1" si="16"/>
        <v>1.315010012041212</v>
      </c>
      <c r="N13" s="304">
        <f t="shared" ca="1" si="17"/>
        <v>75.34452370740901</v>
      </c>
      <c r="P13" s="310">
        <f t="shared" ca="1" si="18"/>
        <v>3</v>
      </c>
      <c r="Q13" s="304">
        <f t="shared" ca="1" si="19"/>
        <v>206.12068965517258</v>
      </c>
      <c r="R13" s="306">
        <f t="shared" ca="1" si="20"/>
        <v>0.10939851262237466</v>
      </c>
      <c r="S13" s="307">
        <f t="shared" ca="1" si="21"/>
        <v>3.0456159965720588</v>
      </c>
      <c r="T13" s="304">
        <f t="shared" ca="1" si="1"/>
        <v>29.8774929263719</v>
      </c>
      <c r="U13" s="311">
        <f t="shared" ca="1" si="2"/>
        <v>0</v>
      </c>
      <c r="V13" s="306">
        <f t="shared" ca="1" si="3"/>
        <v>1.1561349917185988</v>
      </c>
      <c r="W13" s="304">
        <f t="shared" ca="1" si="4"/>
        <v>57.869276556704556</v>
      </c>
      <c r="Y13" s="314" t="str">
        <f t="shared" ca="1" si="22"/>
        <v/>
      </c>
      <c r="Z13" s="315" t="str">
        <f t="shared" ca="1" si="23"/>
        <v/>
      </c>
      <c r="AA13" s="316" t="str">
        <f t="shared" ca="1" si="24"/>
        <v/>
      </c>
      <c r="AC13" s="310" t="e">
        <f t="shared" ca="1" si="25"/>
        <v>#N/A</v>
      </c>
      <c r="AD13" s="323" t="e">
        <f t="shared" ca="1" si="26"/>
        <v>#N/A</v>
      </c>
      <c r="AE13" s="324">
        <f t="shared" ca="1" si="5"/>
        <v>578.42170663073136</v>
      </c>
      <c r="AG13" s="306">
        <f t="shared" ca="1" si="27"/>
        <v>39.278258980530069</v>
      </c>
      <c r="AH13" s="304">
        <f t="shared" ca="1" si="28"/>
        <v>48.769480879771905</v>
      </c>
    </row>
    <row r="14" spans="1:248" x14ac:dyDescent="0.2">
      <c r="A14" s="347">
        <f t="shared" ca="1" si="6"/>
        <v>0.01</v>
      </c>
      <c r="B14" s="304">
        <f t="shared" ca="1" si="7"/>
        <v>4.6999999999999975</v>
      </c>
      <c r="D14" s="306">
        <f t="shared" ca="1" si="8"/>
        <v>12.248347827621595</v>
      </c>
      <c r="E14" s="307">
        <f t="shared" ca="1" si="9"/>
        <v>37.026175182439232</v>
      </c>
      <c r="F14" s="304">
        <f t="shared" ca="1" si="10"/>
        <v>38.999482985638174</v>
      </c>
      <c r="G14" s="306">
        <f t="shared" ca="1" si="11"/>
        <v>39.678678969073459</v>
      </c>
      <c r="H14" s="307">
        <f t="shared" ca="1" si="12"/>
        <v>151.62828672232735</v>
      </c>
      <c r="I14" s="304">
        <f t="shared" ca="1" si="13"/>
        <v>156.73396217501522</v>
      </c>
      <c r="J14" s="306">
        <f t="shared" ca="1" si="14"/>
        <v>135.06060992324578</v>
      </c>
      <c r="K14" s="307">
        <f t="shared" ca="1" si="15"/>
        <v>579.9361381891955</v>
      </c>
      <c r="L14" s="304">
        <f t="shared" ca="1" si="0"/>
        <v>595.45553379797957</v>
      </c>
      <c r="M14" s="306">
        <f t="shared" ca="1" si="16"/>
        <v>1.3148516551044365</v>
      </c>
      <c r="N14" s="304">
        <f t="shared" ca="1" si="17"/>
        <v>75.335450523275156</v>
      </c>
      <c r="P14" s="310">
        <f t="shared" ca="1" si="18"/>
        <v>3</v>
      </c>
      <c r="Q14" s="304">
        <f t="shared" ca="1" si="19"/>
        <v>205.25862068965534</v>
      </c>
      <c r="R14" s="306">
        <f t="shared" ca="1" si="20"/>
        <v>0.10894096970049102</v>
      </c>
      <c r="S14" s="307">
        <f t="shared" ca="1" si="21"/>
        <v>3.0445265868750537</v>
      </c>
      <c r="T14" s="304">
        <f t="shared" ca="1" si="1"/>
        <v>29.866805817244277</v>
      </c>
      <c r="U14" s="311">
        <f t="shared" ca="1" si="2"/>
        <v>0</v>
      </c>
      <c r="V14" s="306">
        <f t="shared" ca="1" si="3"/>
        <v>1.1559597693101227</v>
      </c>
      <c r="W14" s="304">
        <f t="shared" ca="1" si="4"/>
        <v>58.14894157861557</v>
      </c>
      <c r="Y14" s="314" t="str">
        <f t="shared" ca="1" si="22"/>
        <v/>
      </c>
      <c r="Z14" s="315" t="str">
        <f t="shared" ca="1" si="23"/>
        <v/>
      </c>
      <c r="AA14" s="316" t="str">
        <f t="shared" ca="1" si="24"/>
        <v>Satellite</v>
      </c>
      <c r="AC14" s="310" t="e">
        <f t="shared" ca="1" si="25"/>
        <v>#N/A</v>
      </c>
      <c r="AD14" s="323" t="e">
        <f t="shared" ca="1" si="26"/>
        <v>#N/A</v>
      </c>
      <c r="AE14" s="324">
        <f t="shared" ca="1" si="5"/>
        <v>579.9361381891955</v>
      </c>
      <c r="AG14" s="306">
        <f t="shared" ca="1" si="27"/>
        <v>38.920423864670724</v>
      </c>
      <c r="AH14" s="304">
        <f t="shared" ca="1" si="28"/>
        <v>48.411252103478375</v>
      </c>
    </row>
    <row r="15" spans="1:248" x14ac:dyDescent="0.2">
      <c r="A15" s="347">
        <f t="shared" ca="1" si="6"/>
        <v>0.01</v>
      </c>
      <c r="B15" s="304">
        <f t="shared" ca="1" si="7"/>
        <v>4.7099999999999973</v>
      </c>
      <c r="D15" s="306">
        <f t="shared" ca="1" si="8"/>
        <v>12.165161412715705</v>
      </c>
      <c r="E15" s="307">
        <f t="shared" ca="1" si="9"/>
        <v>36.678003901247884</v>
      </c>
      <c r="F15" s="304">
        <f t="shared" ca="1" si="10"/>
        <v>38.642814628044142</v>
      </c>
      <c r="G15" s="306">
        <f t="shared" ca="1" si="11"/>
        <v>39.800330583200619</v>
      </c>
      <c r="H15" s="307">
        <f t="shared" ca="1" si="12"/>
        <v>151.99506676133981</v>
      </c>
      <c r="I15" s="304">
        <f t="shared" ca="1" si="13"/>
        <v>157.11959341315838</v>
      </c>
      <c r="J15" s="306">
        <f t="shared" ca="1" si="14"/>
        <v>135.45800497100714</v>
      </c>
      <c r="K15" s="307">
        <f t="shared" ca="1" si="15"/>
        <v>581.4542549566138</v>
      </c>
      <c r="L15" s="304">
        <f t="shared" ca="1" si="0"/>
        <v>597.02422205290486</v>
      </c>
      <c r="M15" s="306">
        <f t="shared" ca="1" si="16"/>
        <v>1.3146935911820923</v>
      </c>
      <c r="N15" s="304">
        <f t="shared" ca="1" si="17"/>
        <v>75.326394127631545</v>
      </c>
      <c r="P15" s="310">
        <f t="shared" ca="1" si="18"/>
        <v>3</v>
      </c>
      <c r="Q15" s="304">
        <f t="shared" ca="1" si="19"/>
        <v>204.39655172413813</v>
      </c>
      <c r="R15" s="306">
        <f t="shared" ca="1" si="20"/>
        <v>0.10848342677860742</v>
      </c>
      <c r="S15" s="307">
        <f t="shared" ca="1" si="21"/>
        <v>3.0434417526072677</v>
      </c>
      <c r="T15" s="304">
        <f t="shared" ca="1" si="1"/>
        <v>29.856163593077298</v>
      </c>
      <c r="U15" s="311">
        <f t="shared" ca="1" si="2"/>
        <v>0</v>
      </c>
      <c r="V15" s="306">
        <f t="shared" ca="1" si="3"/>
        <v>1.1557841463972047</v>
      </c>
      <c r="W15" s="304">
        <f t="shared" ca="1" si="4"/>
        <v>58.426557136854655</v>
      </c>
      <c r="Y15" s="314" t="str">
        <f t="shared" ca="1" si="22"/>
        <v/>
      </c>
      <c r="Z15" s="315" t="str">
        <f t="shared" ca="1" si="23"/>
        <v/>
      </c>
      <c r="AA15" s="316" t="str">
        <f t="shared" ca="1" si="24"/>
        <v/>
      </c>
      <c r="AC15" s="310" t="e">
        <f t="shared" ca="1" si="25"/>
        <v>#N/A</v>
      </c>
      <c r="AD15" s="323" t="e">
        <f t="shared" ca="1" si="26"/>
        <v>#N/A</v>
      </c>
      <c r="AE15" s="324">
        <f t="shared" ca="1" si="5"/>
        <v>581.4542549566138</v>
      </c>
      <c r="AG15" s="306">
        <f t="shared" ca="1" si="27"/>
        <v>38.562927538921414</v>
      </c>
      <c r="AH15" s="304">
        <f t="shared" ca="1" si="28"/>
        <v>48.053362618237919</v>
      </c>
    </row>
    <row r="16" spans="1:248" x14ac:dyDescent="0.2">
      <c r="A16" s="347">
        <f t="shared" ca="1" si="6"/>
        <v>0.01</v>
      </c>
      <c r="B16" s="304">
        <f t="shared" ca="1" si="7"/>
        <v>4.7199999999999971</v>
      </c>
      <c r="D16" s="306">
        <f t="shared" ca="1" si="8"/>
        <v>12.081939335978889</v>
      </c>
      <c r="E16" s="307">
        <f t="shared" ca="1" si="9"/>
        <v>36.330199065424239</v>
      </c>
      <c r="F16" s="304">
        <f t="shared" ca="1" si="10"/>
        <v>38.286507052114672</v>
      </c>
      <c r="G16" s="306">
        <f t="shared" ca="1" si="11"/>
        <v>39.921149976560407</v>
      </c>
      <c r="H16" s="307">
        <f t="shared" ca="1" si="12"/>
        <v>152.35836875199405</v>
      </c>
      <c r="I16" s="304">
        <f t="shared" ca="1" si="13"/>
        <v>157.50165314757692</v>
      </c>
      <c r="J16" s="306">
        <f t="shared" ca="1" si="14"/>
        <v>135.85661237380594</v>
      </c>
      <c r="K16" s="307">
        <f t="shared" ca="1" si="15"/>
        <v>582.97602213418043</v>
      </c>
      <c r="L16" s="304">
        <f t="shared" ca="1" si="0"/>
        <v>598.59674365058061</v>
      </c>
      <c r="M16" s="306">
        <f t="shared" ca="1" si="16"/>
        <v>1.3145358154422271</v>
      </c>
      <c r="N16" s="304">
        <f t="shared" ca="1" si="17"/>
        <v>75.317354243627719</v>
      </c>
      <c r="P16" s="310">
        <f t="shared" ca="1" si="18"/>
        <v>3</v>
      </c>
      <c r="Q16" s="304">
        <f t="shared" ca="1" si="19"/>
        <v>203.5344827586209</v>
      </c>
      <c r="R16" s="306">
        <f t="shared" ca="1" si="20"/>
        <v>0.10802588385672381</v>
      </c>
      <c r="S16" s="307">
        <f t="shared" ca="1" si="21"/>
        <v>3.0423614937687002</v>
      </c>
      <c r="T16" s="304">
        <f t="shared" ca="1" si="1"/>
        <v>29.845566253870953</v>
      </c>
      <c r="U16" s="311">
        <f t="shared" ca="1" si="2"/>
        <v>0</v>
      </c>
      <c r="V16" s="306">
        <f t="shared" ca="1" si="3"/>
        <v>1.1556081271875935</v>
      </c>
      <c r="W16" s="304">
        <f t="shared" ca="1" si="4"/>
        <v>58.702107039198047</v>
      </c>
      <c r="Y16" s="314" t="str">
        <f t="shared" ca="1" si="22"/>
        <v/>
      </c>
      <c r="Z16" s="315" t="str">
        <f t="shared" ca="1" si="23"/>
        <v/>
      </c>
      <c r="AA16" s="316" t="str">
        <f t="shared" ca="1" si="24"/>
        <v/>
      </c>
      <c r="AC16" s="310" t="e">
        <f t="shared" ca="1" si="25"/>
        <v>#N/A</v>
      </c>
      <c r="AD16" s="323" t="e">
        <f t="shared" ca="1" si="26"/>
        <v>#N/A</v>
      </c>
      <c r="AE16" s="324">
        <f t="shared" ca="1" si="5"/>
        <v>582.97602213418043</v>
      </c>
      <c r="AG16" s="306">
        <f t="shared" ca="1" si="27"/>
        <v>38.205777405972661</v>
      </c>
      <c r="AH16" s="304">
        <f t="shared" ca="1" si="28"/>
        <v>47.695819815946656</v>
      </c>
    </row>
    <row r="17" spans="1:34" x14ac:dyDescent="0.2">
      <c r="A17" s="347">
        <f t="shared" ca="1" si="6"/>
        <v>0.01</v>
      </c>
      <c r="B17" s="304">
        <f t="shared" ca="1" si="7"/>
        <v>4.7299999999999969</v>
      </c>
      <c r="D17" s="306">
        <f t="shared" ca="1" si="8"/>
        <v>11.998684142189918</v>
      </c>
      <c r="E17" s="307">
        <f t="shared" ca="1" si="9"/>
        <v>35.982767596821184</v>
      </c>
      <c r="F17" s="304">
        <f t="shared" ca="1" si="10"/>
        <v>37.930567950808282</v>
      </c>
      <c r="G17" s="306">
        <f t="shared" ca="1" si="11"/>
        <v>40.041136817982306</v>
      </c>
      <c r="H17" s="307">
        <f t="shared" ca="1" si="12"/>
        <v>152.71819642796225</v>
      </c>
      <c r="I17" s="304">
        <f t="shared" ca="1" si="13"/>
        <v>157.88014491343122</v>
      </c>
      <c r="J17" s="306">
        <f t="shared" ca="1" si="14"/>
        <v>136.25642380777865</v>
      </c>
      <c r="K17" s="307">
        <f t="shared" ca="1" si="15"/>
        <v>584.50140496008021</v>
      </c>
      <c r="L17" s="304">
        <f t="shared" ca="1" si="0"/>
        <v>600.17306289868816</v>
      </c>
      <c r="M17" s="306">
        <f t="shared" ca="1" si="16"/>
        <v>1.3143783231081283</v>
      </c>
      <c r="N17" s="304">
        <f t="shared" ca="1" si="17"/>
        <v>75.308330597578191</v>
      </c>
      <c r="P17" s="310">
        <f t="shared" ca="1" si="18"/>
        <v>3</v>
      </c>
      <c r="Q17" s="304">
        <f t="shared" ca="1" si="19"/>
        <v>202.67241379310369</v>
      </c>
      <c r="R17" s="306">
        <f t="shared" ca="1" si="20"/>
        <v>0.10756834093484019</v>
      </c>
      <c r="S17" s="307">
        <f t="shared" ca="1" si="21"/>
        <v>3.0412858103593519</v>
      </c>
      <c r="T17" s="304">
        <f t="shared" ca="1" si="1"/>
        <v>29.835013799625244</v>
      </c>
      <c r="U17" s="311">
        <f t="shared" ca="1" si="2"/>
        <v>0</v>
      </c>
      <c r="V17" s="306">
        <f t="shared" ca="1" si="3"/>
        <v>1.1554317158827501</v>
      </c>
      <c r="W17" s="304">
        <f t="shared" ca="1" si="4"/>
        <v>58.975575372534195</v>
      </c>
      <c r="Y17" s="314" t="str">
        <f t="shared" ca="1" si="22"/>
        <v/>
      </c>
      <c r="Z17" s="315" t="str">
        <f t="shared" ca="1" si="23"/>
        <v/>
      </c>
      <c r="AA17" s="316" t="str">
        <f t="shared" ca="1" si="24"/>
        <v/>
      </c>
      <c r="AC17" s="310" t="e">
        <f t="shared" ca="1" si="25"/>
        <v>#N/A</v>
      </c>
      <c r="AD17" s="323" t="e">
        <f t="shared" ca="1" si="26"/>
        <v>#N/A</v>
      </c>
      <c r="AE17" s="324">
        <f t="shared" ca="1" si="5"/>
        <v>584.50140496008021</v>
      </c>
      <c r="AG17" s="306">
        <f t="shared" ca="1" si="27"/>
        <v>37.848980783775581</v>
      </c>
      <c r="AH17" s="304">
        <f t="shared" ca="1" si="28"/>
        <v>47.338631003869516</v>
      </c>
    </row>
    <row r="18" spans="1:34" x14ac:dyDescent="0.2">
      <c r="A18" s="347">
        <f t="shared" ca="1" si="6"/>
        <v>0.01</v>
      </c>
      <c r="B18" s="304">
        <f t="shared" ca="1" si="7"/>
        <v>4.7399999999999967</v>
      </c>
      <c r="D18" s="306">
        <f t="shared" ca="1" si="8"/>
        <v>11.915398349247249</v>
      </c>
      <c r="E18" s="307">
        <f t="shared" ca="1" si="9"/>
        <v>35.635716336418795</v>
      </c>
      <c r="F18" s="304">
        <f t="shared" ca="1" si="10"/>
        <v>37.575004945188624</v>
      </c>
      <c r="G18" s="306">
        <f t="shared" ca="1" si="11"/>
        <v>40.16029080147478</v>
      </c>
      <c r="H18" s="307">
        <f t="shared" ca="1" si="12"/>
        <v>153.07455359132643</v>
      </c>
      <c r="I18" s="304">
        <f t="shared" ca="1" si="13"/>
        <v>158.25507231821319</v>
      </c>
      <c r="J18" s="306">
        <f t="shared" ca="1" si="14"/>
        <v>136.65743094587594</v>
      </c>
      <c r="K18" s="307">
        <f t="shared" ca="1" si="15"/>
        <v>586.03036871017662</v>
      </c>
      <c r="L18" s="304">
        <f t="shared" ca="1" si="0"/>
        <v>601.75314414077832</v>
      </c>
      <c r="M18" s="306">
        <f t="shared" ca="1" si="16"/>
        <v>1.3142211094572245</v>
      </c>
      <c r="N18" s="304">
        <f t="shared" ca="1" si="17"/>
        <v>75.299322918899563</v>
      </c>
      <c r="P18" s="310">
        <f t="shared" ca="1" si="18"/>
        <v>3</v>
      </c>
      <c r="Q18" s="304">
        <f t="shared" ca="1" si="19"/>
        <v>201.81034482758645</v>
      </c>
      <c r="R18" s="306">
        <f t="shared" ca="1" si="20"/>
        <v>0.10711079801295657</v>
      </c>
      <c r="S18" s="307">
        <f t="shared" ca="1" si="21"/>
        <v>3.0402147023792221</v>
      </c>
      <c r="T18" s="304">
        <f t="shared" ca="1" si="1"/>
        <v>29.82450623034017</v>
      </c>
      <c r="U18" s="311">
        <f t="shared" ca="1" si="2"/>
        <v>0</v>
      </c>
      <c r="V18" s="306">
        <f t="shared" ca="1" si="3"/>
        <v>1.1552549166777564</v>
      </c>
      <c r="W18" s="304">
        <f t="shared" ca="1" si="4"/>
        <v>59.24694650206807</v>
      </c>
      <c r="Y18" s="314" t="str">
        <f t="shared" ca="1" si="22"/>
        <v/>
      </c>
      <c r="Z18" s="315" t="str">
        <f t="shared" ca="1" si="23"/>
        <v/>
      </c>
      <c r="AA18" s="316" t="str">
        <f t="shared" ca="1" si="24"/>
        <v/>
      </c>
      <c r="AC18" s="310" t="e">
        <f t="shared" ca="1" si="25"/>
        <v>#N/A</v>
      </c>
      <c r="AD18" s="323" t="e">
        <f t="shared" ca="1" si="26"/>
        <v>#N/A</v>
      </c>
      <c r="AE18" s="324">
        <f t="shared" ca="1" si="5"/>
        <v>586.03036871017662</v>
      </c>
      <c r="AG18" s="306">
        <f t="shared" ca="1" si="27"/>
        <v>37.492544905535802</v>
      </c>
      <c r="AH18" s="304">
        <f t="shared" ca="1" si="28"/>
        <v>46.981803404631954</v>
      </c>
    </row>
    <row r="19" spans="1:34" x14ac:dyDescent="0.2">
      <c r="A19" s="347">
        <f t="shared" ca="1" si="6"/>
        <v>0.01</v>
      </c>
      <c r="B19" s="304">
        <f t="shared" ca="1" si="7"/>
        <v>4.7499999999999964</v>
      </c>
      <c r="D19" s="306">
        <f t="shared" ca="1" si="8"/>
        <v>11.832084448248489</v>
      </c>
      <c r="E19" s="307">
        <f t="shared" ca="1" si="9"/>
        <v>35.289052044314424</v>
      </c>
      <c r="F19" s="304">
        <f t="shared" ca="1" si="10"/>
        <v>37.219825584986502</v>
      </c>
      <c r="G19" s="306">
        <f t="shared" ca="1" si="11"/>
        <v>40.278611645957263</v>
      </c>
      <c r="H19" s="307">
        <f t="shared" ca="1" si="12"/>
        <v>153.42744411176957</v>
      </c>
      <c r="I19" s="304">
        <f t="shared" ca="1" si="13"/>
        <v>158.6264390408989</v>
      </c>
      <c r="J19" s="306">
        <f t="shared" ca="1" si="14"/>
        <v>137.05962545811312</v>
      </c>
      <c r="K19" s="307">
        <f t="shared" ca="1" si="15"/>
        <v>587.56287869869209</v>
      </c>
      <c r="L19" s="304">
        <f t="shared" ca="1" si="0"/>
        <v>603.33695175698642</v>
      </c>
      <c r="M19" s="306">
        <f t="shared" ca="1" si="16"/>
        <v>1.3140641698200139</v>
      </c>
      <c r="N19" s="304">
        <f t="shared" ca="1" si="17"/>
        <v>75.290330940049088</v>
      </c>
      <c r="P19" s="310">
        <f t="shared" ca="1" si="18"/>
        <v>3</v>
      </c>
      <c r="Q19" s="304">
        <f t="shared" ca="1" si="19"/>
        <v>200.94827586206924</v>
      </c>
      <c r="R19" s="306">
        <f t="shared" ca="1" si="20"/>
        <v>0.10665325509107296</v>
      </c>
      <c r="S19" s="307">
        <f t="shared" ca="1" si="21"/>
        <v>3.0391481698283114</v>
      </c>
      <c r="T19" s="304">
        <f t="shared" ca="1" si="1"/>
        <v>29.814043546015736</v>
      </c>
      <c r="U19" s="311">
        <f t="shared" ca="1" si="2"/>
        <v>0</v>
      </c>
      <c r="V19" s="306">
        <f t="shared" ca="1" si="3"/>
        <v>1.1550777337612297</v>
      </c>
      <c r="W19" s="304">
        <f t="shared" ca="1" si="4"/>
        <v>59.516205070496795</v>
      </c>
      <c r="Y19" s="314" t="str">
        <f t="shared" ca="1" si="22"/>
        <v/>
      </c>
      <c r="Z19" s="315" t="str">
        <f t="shared" ca="1" si="23"/>
        <v/>
      </c>
      <c r="AA19" s="316" t="str">
        <f t="shared" ca="1" si="24"/>
        <v/>
      </c>
      <c r="AC19" s="310" t="e">
        <f t="shared" ca="1" si="25"/>
        <v>#N/A</v>
      </c>
      <c r="AD19" s="323" t="e">
        <f t="shared" ca="1" si="26"/>
        <v>#N/A</v>
      </c>
      <c r="AE19" s="324">
        <f t="shared" ca="1" si="5"/>
        <v>587.56287869869209</v>
      </c>
      <c r="AG19" s="306">
        <f t="shared" ca="1" si="27"/>
        <v>37.136476919718987</v>
      </c>
      <c r="AH19" s="304">
        <f t="shared" ca="1" si="28"/>
        <v>46.625344156223292</v>
      </c>
    </row>
    <row r="20" spans="1:34" x14ac:dyDescent="0.2">
      <c r="A20" s="347">
        <f t="shared" ca="1" si="6"/>
        <v>0.01</v>
      </c>
      <c r="B20" s="304">
        <f t="shared" ca="1" si="7"/>
        <v>4.7599999999999962</v>
      </c>
      <c r="D20" s="306">
        <f t="shared" ca="1" si="8"/>
        <v>11.748744903569932</v>
      </c>
      <c r="E20" s="307">
        <f t="shared" ca="1" si="9"/>
        <v>34.942781399724268</v>
      </c>
      <c r="F20" s="304">
        <f t="shared" ca="1" si="10"/>
        <v>36.865037349202247</v>
      </c>
      <c r="G20" s="306">
        <f t="shared" ca="1" si="11"/>
        <v>40.396099094992962</v>
      </c>
      <c r="H20" s="307">
        <f t="shared" ca="1" si="12"/>
        <v>153.77687192576681</v>
      </c>
      <c r="I20" s="304">
        <f t="shared" ca="1" si="13"/>
        <v>158.99424883110137</v>
      </c>
      <c r="J20" s="306">
        <f t="shared" ca="1" si="14"/>
        <v>137.46299901181786</v>
      </c>
      <c r="K20" s="307">
        <f t="shared" ca="1" si="15"/>
        <v>589.0989002788798</v>
      </c>
      <c r="L20" s="304">
        <f t="shared" ca="1" si="0"/>
        <v>604.9244501647363</v>
      </c>
      <c r="M20" s="306">
        <f t="shared" ca="1" si="16"/>
        <v>1.3139074995790139</v>
      </c>
      <c r="N20" s="304">
        <f t="shared" ca="1" si="17"/>
        <v>75.281354396464479</v>
      </c>
      <c r="P20" s="310">
        <f t="shared" ca="1" si="18"/>
        <v>3</v>
      </c>
      <c r="Q20" s="304">
        <f t="shared" ca="1" si="19"/>
        <v>200.086206896552</v>
      </c>
      <c r="R20" s="306">
        <f t="shared" ca="1" si="20"/>
        <v>0.10619571216918934</v>
      </c>
      <c r="S20" s="307">
        <f t="shared" ca="1" si="21"/>
        <v>3.0380862127066193</v>
      </c>
      <c r="T20" s="304">
        <f t="shared" ca="1" si="1"/>
        <v>29.803625746651935</v>
      </c>
      <c r="U20" s="311">
        <f t="shared" ca="1" si="2"/>
        <v>0</v>
      </c>
      <c r="V20" s="306">
        <f t="shared" ca="1" si="3"/>
        <v>1.1549001713152338</v>
      </c>
      <c r="W20" s="304">
        <f t="shared" ca="1" si="4"/>
        <v>59.783335997157053</v>
      </c>
      <c r="Y20" s="314" t="str">
        <f t="shared" ca="1" si="22"/>
        <v/>
      </c>
      <c r="Z20" s="315" t="str">
        <f t="shared" ca="1" si="23"/>
        <v/>
      </c>
      <c r="AA20" s="316" t="str">
        <f t="shared" ca="1" si="24"/>
        <v/>
      </c>
      <c r="AC20" s="310" t="e">
        <f t="shared" ca="1" si="25"/>
        <v>#N/A</v>
      </c>
      <c r="AD20" s="323" t="e">
        <f t="shared" ca="1" si="26"/>
        <v>#N/A</v>
      </c>
      <c r="AE20" s="324">
        <f t="shared" ca="1" si="5"/>
        <v>589.0989002788798</v>
      </c>
      <c r="AG20" s="306">
        <f t="shared" ca="1" si="27"/>
        <v>36.780783890067632</v>
      </c>
      <c r="AH20" s="304">
        <f t="shared" ca="1" si="28"/>
        <v>46.269260312011333</v>
      </c>
    </row>
    <row r="21" spans="1:34" x14ac:dyDescent="0.2">
      <c r="A21" s="347">
        <f t="shared" ca="1" si="6"/>
        <v>0.01</v>
      </c>
      <c r="B21" s="304">
        <f t="shared" ca="1" si="7"/>
        <v>4.769999999999996</v>
      </c>
      <c r="D21" s="306">
        <f t="shared" ca="1" si="8"/>
        <v>11.665382152946512</v>
      </c>
      <c r="E21" s="307">
        <f t="shared" ca="1" si="9"/>
        <v>34.596911000996329</v>
      </c>
      <c r="F21" s="304">
        <f t="shared" ca="1" si="10"/>
        <v>36.510647646750172</v>
      </c>
      <c r="G21" s="306">
        <f t="shared" ca="1" si="11"/>
        <v>40.51275291652243</v>
      </c>
      <c r="H21" s="307">
        <f t="shared" ca="1" si="12"/>
        <v>154.12284103577679</v>
      </c>
      <c r="I21" s="304">
        <f t="shared" ca="1" si="13"/>
        <v>159.35850550822357</v>
      </c>
      <c r="J21" s="306">
        <f t="shared" ca="1" si="14"/>
        <v>137.86754327187543</v>
      </c>
      <c r="K21" s="307">
        <f t="shared" ca="1" si="15"/>
        <v>590.63839884368747</v>
      </c>
      <c r="L21" s="304">
        <f t="shared" ca="1" si="0"/>
        <v>606.51560381943784</v>
      </c>
      <c r="M21" s="306">
        <f t="shared" ca="1" si="16"/>
        <v>1.3137510941677351</v>
      </c>
      <c r="N21" s="304">
        <f t="shared" ca="1" si="17"/>
        <v>75.272393026505199</v>
      </c>
      <c r="P21" s="310">
        <f t="shared" ca="1" si="18"/>
        <v>3</v>
      </c>
      <c r="Q21" s="304">
        <f t="shared" ca="1" si="19"/>
        <v>199.22413793103479</v>
      </c>
      <c r="R21" s="306">
        <f t="shared" ca="1" si="20"/>
        <v>0.10573816924730574</v>
      </c>
      <c r="S21" s="307">
        <f t="shared" ca="1" si="21"/>
        <v>3.0370288310141462</v>
      </c>
      <c r="T21" s="304">
        <f t="shared" ca="1" si="1"/>
        <v>29.793252832248776</v>
      </c>
      <c r="U21" s="311">
        <f t="shared" ca="1" si="2"/>
        <v>0</v>
      </c>
      <c r="V21" s="306">
        <f t="shared" ca="1" si="3"/>
        <v>1.1547222335151932</v>
      </c>
      <c r="W21" s="304">
        <f t="shared" ca="1" si="4"/>
        <v>60.04832447714459</v>
      </c>
      <c r="Y21" s="314" t="str">
        <f t="shared" ca="1" si="22"/>
        <v/>
      </c>
      <c r="Z21" s="315" t="str">
        <f t="shared" ca="1" si="23"/>
        <v/>
      </c>
      <c r="AA21" s="316" t="str">
        <f t="shared" ca="1" si="24"/>
        <v/>
      </c>
      <c r="AC21" s="310" t="e">
        <f t="shared" ca="1" si="25"/>
        <v>#N/A</v>
      </c>
      <c r="AD21" s="323" t="e">
        <f t="shared" ca="1" si="26"/>
        <v>#N/A</v>
      </c>
      <c r="AE21" s="324">
        <f t="shared" ca="1" si="5"/>
        <v>590.63839884368747</v>
      </c>
      <c r="AG21" s="306">
        <f t="shared" ca="1" si="27"/>
        <v>36.425472795629027</v>
      </c>
      <c r="AH21" s="304">
        <f t="shared" ca="1" si="28"/>
        <v>45.913558840768289</v>
      </c>
    </row>
    <row r="22" spans="1:34" x14ac:dyDescent="0.2">
      <c r="A22" s="347">
        <f t="shared" ca="1" si="6"/>
        <v>0.01</v>
      </c>
      <c r="B22" s="304">
        <f t="shared" ca="1" si="7"/>
        <v>4.7799999999999958</v>
      </c>
      <c r="D22" s="306">
        <f t="shared" ca="1" si="8"/>
        <v>11.581998607551942</v>
      </c>
      <c r="E22" s="307">
        <f t="shared" ca="1" si="9"/>
        <v>34.251447365634661</v>
      </c>
      <c r="F22" s="304">
        <f t="shared" ca="1" si="10"/>
        <v>36.156663817146857</v>
      </c>
      <c r="G22" s="306">
        <f t="shared" ca="1" si="11"/>
        <v>40.628572902597952</v>
      </c>
      <c r="H22" s="307">
        <f t="shared" ca="1" si="12"/>
        <v>154.46535550943312</v>
      </c>
      <c r="I22" s="304">
        <f t="shared" ca="1" si="13"/>
        <v>159.71921296061183</v>
      </c>
      <c r="J22" s="306">
        <f t="shared" ca="1" si="14"/>
        <v>138.27324990097102</v>
      </c>
      <c r="K22" s="307">
        <f t="shared" ca="1" si="15"/>
        <v>592.18133982641348</v>
      </c>
      <c r="L22" s="304">
        <f t="shared" ca="1" si="0"/>
        <v>608.11037721517516</v>
      </c>
      <c r="M22" s="306">
        <f t="shared" ca="1" si="16"/>
        <v>1.3135949490696763</v>
      </c>
      <c r="N22" s="304">
        <f t="shared" ca="1" si="17"/>
        <v>75.26344657139478</v>
      </c>
      <c r="P22" s="310">
        <f t="shared" ca="1" si="18"/>
        <v>3</v>
      </c>
      <c r="Q22" s="304">
        <f t="shared" ca="1" si="19"/>
        <v>198.36206896551755</v>
      </c>
      <c r="R22" s="306">
        <f t="shared" ca="1" si="20"/>
        <v>0.10528062632542211</v>
      </c>
      <c r="S22" s="307">
        <f t="shared" ca="1" si="21"/>
        <v>3.0359760247508918</v>
      </c>
      <c r="T22" s="304">
        <f t="shared" ca="1" si="1"/>
        <v>29.782924802806249</v>
      </c>
      <c r="U22" s="311">
        <f t="shared" ca="1" si="2"/>
        <v>0</v>
      </c>
      <c r="V22" s="306">
        <f t="shared" ca="1" si="3"/>
        <v>1.1545439245298068</v>
      </c>
      <c r="W22" s="304">
        <f t="shared" ca="1" si="4"/>
        <v>60.311155980406568</v>
      </c>
      <c r="Y22" s="314" t="str">
        <f t="shared" ca="1" si="22"/>
        <v/>
      </c>
      <c r="Z22" s="315" t="str">
        <f t="shared" ca="1" si="23"/>
        <v/>
      </c>
      <c r="AA22" s="316" t="str">
        <f t="shared" ca="1" si="24"/>
        <v/>
      </c>
      <c r="AC22" s="310" t="e">
        <f t="shared" ca="1" si="25"/>
        <v>#N/A</v>
      </c>
      <c r="AD22" s="323" t="e">
        <f t="shared" ca="1" si="26"/>
        <v>#N/A</v>
      </c>
      <c r="AE22" s="324">
        <f t="shared" ca="1" si="5"/>
        <v>592.18133982641348</v>
      </c>
      <c r="AG22" s="306">
        <f t="shared" ca="1" si="27"/>
        <v>36.070550530794335</v>
      </c>
      <c r="AH22" s="304">
        <f t="shared" ca="1" si="28"/>
        <v>45.558246626707756</v>
      </c>
    </row>
    <row r="23" spans="1:34" x14ac:dyDescent="0.2">
      <c r="A23" s="347">
        <f t="shared" ca="1" si="6"/>
        <v>0.01</v>
      </c>
      <c r="B23" s="304">
        <f t="shared" ca="1" si="7"/>
        <v>4.7899999999999956</v>
      </c>
      <c r="D23" s="306">
        <f t="shared" ca="1" si="8"/>
        <v>11.498596652079355</v>
      </c>
      <c r="E23" s="307">
        <f t="shared" ca="1" si="9"/>
        <v>33.906396930334743</v>
      </c>
      <c r="F23" s="304">
        <f t="shared" ca="1" si="10"/>
        <v>35.803093131245291</v>
      </c>
      <c r="G23" s="306">
        <f t="shared" ca="1" si="11"/>
        <v>40.743558869118743</v>
      </c>
      <c r="H23" s="307">
        <f t="shared" ca="1" si="12"/>
        <v>154.80441947873646</v>
      </c>
      <c r="I23" s="304">
        <f t="shared" ca="1" si="13"/>
        <v>160.07637514471006</v>
      </c>
      <c r="J23" s="306">
        <f t="shared" ca="1" si="14"/>
        <v>138.68011055982961</v>
      </c>
      <c r="K23" s="307">
        <f t="shared" ca="1" si="15"/>
        <v>593.72768870135428</v>
      </c>
      <c r="L23" s="304">
        <f t="shared" ca="1" si="0"/>
        <v>609.70873488538678</v>
      </c>
      <c r="M23" s="306">
        <f t="shared" ca="1" si="16"/>
        <v>1.3134390598173427</v>
      </c>
      <c r="N23" s="304">
        <f t="shared" ca="1" si="17"/>
        <v>75.254514775164608</v>
      </c>
      <c r="P23" s="310">
        <f t="shared" ca="1" si="18"/>
        <v>3</v>
      </c>
      <c r="Q23" s="304">
        <f t="shared" ca="1" si="19"/>
        <v>197.50000000000034</v>
      </c>
      <c r="R23" s="306">
        <f t="shared" ca="1" si="20"/>
        <v>0.10482308340353851</v>
      </c>
      <c r="S23" s="307">
        <f t="shared" ca="1" si="21"/>
        <v>3.0349277939168564</v>
      </c>
      <c r="T23" s="304">
        <f t="shared" ca="1" si="1"/>
        <v>29.772641658324364</v>
      </c>
      <c r="U23" s="311">
        <f t="shared" ca="1" si="2"/>
        <v>0</v>
      </c>
      <c r="V23" s="306">
        <f t="shared" ca="1" si="3"/>
        <v>1.1543652485209663</v>
      </c>
      <c r="W23" s="304">
        <f t="shared" ca="1" si="4"/>
        <v>60.571816250807608</v>
      </c>
      <c r="Y23" s="314" t="str">
        <f t="shared" ca="1" si="22"/>
        <v/>
      </c>
      <c r="Z23" s="315" t="str">
        <f t="shared" ca="1" si="23"/>
        <v/>
      </c>
      <c r="AA23" s="316" t="str">
        <f t="shared" ca="1" si="24"/>
        <v/>
      </c>
      <c r="AC23" s="310" t="e">
        <f t="shared" ca="1" si="25"/>
        <v>#N/A</v>
      </c>
      <c r="AD23" s="323" t="e">
        <f t="shared" ca="1" si="26"/>
        <v>#N/A</v>
      </c>
      <c r="AE23" s="324">
        <f t="shared" ca="1" si="5"/>
        <v>593.72768870135428</v>
      </c>
      <c r="AG23" s="306">
        <f t="shared" ca="1" si="27"/>
        <v>35.716023905348642</v>
      </c>
      <c r="AH23" s="304">
        <f t="shared" ca="1" si="28"/>
        <v>45.203330469532794</v>
      </c>
    </row>
    <row r="24" spans="1:34" x14ac:dyDescent="0.2">
      <c r="A24" s="347">
        <f t="shared" ca="1" si="6"/>
        <v>0.01</v>
      </c>
      <c r="B24" s="304">
        <f t="shared" ca="1" si="7"/>
        <v>4.7999999999999954</v>
      </c>
      <c r="D24" s="306">
        <f t="shared" ca="1" si="8"/>
        <v>11.415178644822179</v>
      </c>
      <c r="E24" s="307">
        <f t="shared" ca="1" si="9"/>
        <v>33.561766051029529</v>
      </c>
      <c r="F24" s="304">
        <f t="shared" ca="1" si="10"/>
        <v>35.4499427920165</v>
      </c>
      <c r="G24" s="306">
        <f t="shared" ca="1" si="11"/>
        <v>40.857710655566969</v>
      </c>
      <c r="H24" s="307">
        <f t="shared" ca="1" si="12"/>
        <v>155.14003713924677</v>
      </c>
      <c r="I24" s="304">
        <f t="shared" ca="1" si="13"/>
        <v>160.42999608421394</v>
      </c>
      <c r="J24" s="306">
        <f t="shared" ca="1" si="14"/>
        <v>139.08811690745304</v>
      </c>
      <c r="K24" s="307">
        <f t="shared" ca="1" si="15"/>
        <v>595.27741098444415</v>
      </c>
      <c r="L24" s="304">
        <f t="shared" ca="1" si="0"/>
        <v>611.31064140353726</v>
      </c>
      <c r="M24" s="306">
        <f t="shared" ca="1" si="16"/>
        <v>1.3132834219912828</v>
      </c>
      <c r="N24" s="304">
        <f t="shared" ca="1" si="17"/>
        <v>75.245597384598781</v>
      </c>
      <c r="P24" s="310">
        <f t="shared" ca="1" si="18"/>
        <v>3</v>
      </c>
      <c r="Q24" s="304">
        <f t="shared" ca="1" si="19"/>
        <v>196.63793103448313</v>
      </c>
      <c r="R24" s="306">
        <f t="shared" ca="1" si="20"/>
        <v>0.10436554048165489</v>
      </c>
      <c r="S24" s="307">
        <f t="shared" ca="1" si="21"/>
        <v>3.0338841385120396</v>
      </c>
      <c r="T24" s="304">
        <f t="shared" ca="1" si="1"/>
        <v>29.762403398803109</v>
      </c>
      <c r="U24" s="311">
        <f t="shared" ca="1" si="2"/>
        <v>0</v>
      </c>
      <c r="V24" s="306">
        <f t="shared" ca="1" si="3"/>
        <v>1.1541862096436712</v>
      </c>
      <c r="W24" s="304">
        <f t="shared" ca="1" si="4"/>
        <v>60.830291305168821</v>
      </c>
      <c r="Y24" s="314" t="str">
        <f t="shared" ca="1" si="22"/>
        <v/>
      </c>
      <c r="Z24" s="315" t="str">
        <f t="shared" ca="1" si="23"/>
        <v/>
      </c>
      <c r="AA24" s="316" t="str">
        <f t="shared" ca="1" si="24"/>
        <v/>
      </c>
      <c r="AC24" s="310" t="e">
        <f t="shared" ca="1" si="25"/>
        <v>#N/A</v>
      </c>
      <c r="AD24" s="323" t="e">
        <f t="shared" ca="1" si="26"/>
        <v>#N/A</v>
      </c>
      <c r="AE24" s="324">
        <f t="shared" ca="1" si="5"/>
        <v>595.27741098444415</v>
      </c>
      <c r="AG24" s="306">
        <f t="shared" ca="1" si="27"/>
        <v>35.361899644531483</v>
      </c>
      <c r="AH24" s="304">
        <f t="shared" ca="1" si="28"/>
        <v>44.848817084494456</v>
      </c>
    </row>
    <row r="25" spans="1:34" x14ac:dyDescent="0.2">
      <c r="A25" s="347">
        <f t="shared" ca="1" si="6"/>
        <v>0.01</v>
      </c>
      <c r="B25" s="304">
        <f t="shared" ca="1" si="7"/>
        <v>4.8099999999999952</v>
      </c>
      <c r="D25" s="306">
        <f t="shared" ca="1" si="8"/>
        <v>11.331746917755614</v>
      </c>
      <c r="E25" s="307">
        <f t="shared" ca="1" si="9"/>
        <v>33.217561002946653</v>
      </c>
      <c r="F25" s="304">
        <f t="shared" ca="1" si="10"/>
        <v>35.097219935381581</v>
      </c>
      <c r="G25" s="306">
        <f t="shared" ca="1" si="11"/>
        <v>40.971028124744528</v>
      </c>
      <c r="H25" s="307">
        <f t="shared" ca="1" si="12"/>
        <v>155.47221274927625</v>
      </c>
      <c r="I25" s="304">
        <f t="shared" ca="1" si="13"/>
        <v>160.7800798692264</v>
      </c>
      <c r="J25" s="306">
        <f t="shared" ca="1" si="14"/>
        <v>139.49726060135461</v>
      </c>
      <c r="K25" s="307">
        <f t="shared" ca="1" si="15"/>
        <v>596.83047223388678</v>
      </c>
      <c r="L25" s="304">
        <f t="shared" ca="1" si="0"/>
        <v>612.91606138378074</v>
      </c>
      <c r="M25" s="306">
        <f t="shared" ca="1" si="16"/>
        <v>1.3131280312191485</v>
      </c>
      <c r="N25" s="304">
        <f t="shared" ca="1" si="17"/>
        <v>75.236694149180209</v>
      </c>
      <c r="P25" s="310">
        <f t="shared" ca="1" si="18"/>
        <v>3</v>
      </c>
      <c r="Q25" s="304">
        <f t="shared" ca="1" si="19"/>
        <v>195.77586206896589</v>
      </c>
      <c r="R25" s="306">
        <f t="shared" ca="1" si="20"/>
        <v>0.10390799755977127</v>
      </c>
      <c r="S25" s="307">
        <f t="shared" ca="1" si="21"/>
        <v>3.0328450585364419</v>
      </c>
      <c r="T25" s="304">
        <f t="shared" ca="1" si="1"/>
        <v>29.752210024242498</v>
      </c>
      <c r="U25" s="311">
        <f t="shared" ca="1" si="2"/>
        <v>0</v>
      </c>
      <c r="V25" s="306">
        <f t="shared" ca="1" si="3"/>
        <v>1.1540068120459492</v>
      </c>
      <c r="W25" s="304">
        <f t="shared" ca="1" si="4"/>
        <v>61.086567432281797</v>
      </c>
      <c r="Y25" s="314" t="str">
        <f t="shared" ca="1" si="22"/>
        <v/>
      </c>
      <c r="Z25" s="315" t="str">
        <f t="shared" ca="1" si="23"/>
        <v/>
      </c>
      <c r="AA25" s="316" t="str">
        <f t="shared" ca="1" si="24"/>
        <v/>
      </c>
      <c r="AC25" s="310" t="e">
        <f t="shared" ca="1" si="25"/>
        <v>#N/A</v>
      </c>
      <c r="AD25" s="323" t="e">
        <f t="shared" ca="1" si="26"/>
        <v>#N/A</v>
      </c>
      <c r="AE25" s="324">
        <f t="shared" ca="1" si="5"/>
        <v>596.83047223388678</v>
      </c>
      <c r="AG25" s="306">
        <f t="shared" ca="1" si="27"/>
        <v>35.008184389108472</v>
      </c>
      <c r="AH25" s="304">
        <f t="shared" ca="1" si="28"/>
        <v>44.49471310246151</v>
      </c>
    </row>
    <row r="26" spans="1:34" x14ac:dyDescent="0.2">
      <c r="A26" s="347">
        <f t="shared" ca="1" si="6"/>
        <v>0.01</v>
      </c>
      <c r="B26" s="304">
        <f t="shared" ca="1" si="7"/>
        <v>4.819999999999995</v>
      </c>
      <c r="D26" s="306">
        <f t="shared" ca="1" si="8"/>
        <v>11.248303776618455</v>
      </c>
      <c r="E26" s="307">
        <f t="shared" ca="1" si="9"/>
        <v>32.873787980676063</v>
      </c>
      <c r="F26" s="304">
        <f t="shared" ca="1" si="10"/>
        <v>34.744931631095938</v>
      </c>
      <c r="G26" s="306">
        <f t="shared" ca="1" si="11"/>
        <v>41.08351116251071</v>
      </c>
      <c r="H26" s="307">
        <f t="shared" ca="1" si="12"/>
        <v>155.80095062908302</v>
      </c>
      <c r="I26" s="304">
        <f t="shared" ca="1" si="13"/>
        <v>161.12663065541372</v>
      </c>
      <c r="J26" s="306">
        <f t="shared" ca="1" si="14"/>
        <v>139.90753329779088</v>
      </c>
      <c r="K26" s="307">
        <f t="shared" ca="1" si="15"/>
        <v>598.38683805077858</v>
      </c>
      <c r="L26" s="304">
        <f t="shared" ca="1" si="0"/>
        <v>614.5249594816155</v>
      </c>
      <c r="M26" s="306">
        <f t="shared" ca="1" si="16"/>
        <v>1.3129728831747733</v>
      </c>
      <c r="N26" s="304">
        <f t="shared" ca="1" si="17"/>
        <v>75.227804821037807</v>
      </c>
      <c r="P26" s="310">
        <f t="shared" ca="1" si="18"/>
        <v>3</v>
      </c>
      <c r="Q26" s="304">
        <f t="shared" ca="1" si="19"/>
        <v>194.91379310344868</v>
      </c>
      <c r="R26" s="306">
        <f t="shared" ca="1" si="20"/>
        <v>0.10345045463788767</v>
      </c>
      <c r="S26" s="307">
        <f t="shared" ca="1" si="21"/>
        <v>3.0318105539900633</v>
      </c>
      <c r="T26" s="304">
        <f t="shared" ca="1" si="1"/>
        <v>29.742061534642524</v>
      </c>
      <c r="U26" s="311">
        <f t="shared" ca="1" si="2"/>
        <v>0</v>
      </c>
      <c r="V26" s="306">
        <f t="shared" ca="1" si="3"/>
        <v>1.1538270598687748</v>
      </c>
      <c r="W26" s="304">
        <f t="shared" ca="1" si="4"/>
        <v>61.340631191897124</v>
      </c>
      <c r="Y26" s="314" t="str">
        <f t="shared" ca="1" si="22"/>
        <v/>
      </c>
      <c r="Z26" s="315" t="str">
        <f t="shared" ca="1" si="23"/>
        <v/>
      </c>
      <c r="AA26" s="316" t="str">
        <f t="shared" ca="1" si="24"/>
        <v/>
      </c>
      <c r="AC26" s="310" t="e">
        <f t="shared" ca="1" si="25"/>
        <v>#N/A</v>
      </c>
      <c r="AD26" s="323" t="e">
        <f t="shared" ca="1" si="26"/>
        <v>#N/A</v>
      </c>
      <c r="AE26" s="324">
        <f t="shared" ca="1" si="5"/>
        <v>598.38683805077858</v>
      </c>
      <c r="AG26" s="306">
        <f t="shared" ca="1" si="27"/>
        <v>34.654884695453056</v>
      </c>
      <c r="AH26" s="304">
        <f t="shared" ca="1" si="28"/>
        <v>44.141025070000303</v>
      </c>
    </row>
    <row r="27" spans="1:34" x14ac:dyDescent="0.2">
      <c r="A27" s="347">
        <f t="shared" ca="1" si="6"/>
        <v>0.01</v>
      </c>
      <c r="B27" s="304">
        <f t="shared" ca="1" si="7"/>
        <v>4.8299999999999947</v>
      </c>
      <c r="D27" s="306">
        <f t="shared" ca="1" si="8"/>
        <v>11.164851500995448</v>
      </c>
      <c r="E27" s="307">
        <f t="shared" ca="1" si="9"/>
        <v>32.530453098248046</v>
      </c>
      <c r="F27" s="304">
        <f t="shared" ca="1" si="10"/>
        <v>34.39308488368841</v>
      </c>
      <c r="G27" s="306">
        <f t="shared" ca="1" si="11"/>
        <v>41.195159677520664</v>
      </c>
      <c r="H27" s="307">
        <f t="shared" ca="1" si="12"/>
        <v>156.12625516006551</v>
      </c>
      <c r="I27" s="304">
        <f t="shared" ca="1" si="13"/>
        <v>161.46965266316238</v>
      </c>
      <c r="J27" s="306">
        <f t="shared" ca="1" si="14"/>
        <v>140.31892665199103</v>
      </c>
      <c r="K27" s="307">
        <f t="shared" ca="1" si="15"/>
        <v>599.94647407972434</v>
      </c>
      <c r="L27" s="304">
        <f t="shared" ca="1" si="0"/>
        <v>616.13730039453071</v>
      </c>
      <c r="M27" s="306">
        <f t="shared" ca="1" si="16"/>
        <v>1.31281797357727</v>
      </c>
      <c r="N27" s="304">
        <f t="shared" ca="1" si="17"/>
        <v>75.218929154894795</v>
      </c>
      <c r="P27" s="310">
        <f t="shared" ca="1" si="18"/>
        <v>3</v>
      </c>
      <c r="Q27" s="304">
        <f t="shared" ca="1" si="19"/>
        <v>194.05172413793144</v>
      </c>
      <c r="R27" s="306">
        <f t="shared" ca="1" si="20"/>
        <v>0.10299291171600404</v>
      </c>
      <c r="S27" s="307">
        <f t="shared" ca="1" si="21"/>
        <v>3.0307806248729032</v>
      </c>
      <c r="T27" s="304">
        <f t="shared" ca="1" si="1"/>
        <v>29.731957930003183</v>
      </c>
      <c r="U27" s="311">
        <f t="shared" ca="1" si="2"/>
        <v>0</v>
      </c>
      <c r="V27" s="306">
        <f t="shared" ca="1" si="3"/>
        <v>1.1536469572459904</v>
      </c>
      <c r="W27" s="304">
        <f t="shared" ca="1" si="4"/>
        <v>61.59246941368815</v>
      </c>
      <c r="Y27" s="314" t="str">
        <f t="shared" ca="1" si="22"/>
        <v/>
      </c>
      <c r="Z27" s="315" t="str">
        <f t="shared" ca="1" si="23"/>
        <v/>
      </c>
      <c r="AA27" s="316" t="str">
        <f t="shared" ca="1" si="24"/>
        <v/>
      </c>
      <c r="AC27" s="310" t="e">
        <f t="shared" ca="1" si="25"/>
        <v>#N/A</v>
      </c>
      <c r="AD27" s="323" t="e">
        <f t="shared" ca="1" si="26"/>
        <v>#N/A</v>
      </c>
      <c r="AE27" s="324">
        <f t="shared" ca="1" si="5"/>
        <v>599.94647407972434</v>
      </c>
      <c r="AG27" s="306">
        <f t="shared" ca="1" si="27"/>
        <v>34.302007035638738</v>
      </c>
      <c r="AH27" s="304">
        <f t="shared" ca="1" si="28"/>
        <v>43.787759449465135</v>
      </c>
    </row>
    <row r="28" spans="1:34" x14ac:dyDescent="0.2">
      <c r="A28" s="347">
        <f t="shared" ca="1" si="6"/>
        <v>0.01</v>
      </c>
      <c r="B28" s="304">
        <f t="shared" ca="1" si="7"/>
        <v>4.8399999999999945</v>
      </c>
      <c r="D28" s="306">
        <f t="shared" ca="1" si="8"/>
        <v>11.081392344400262</v>
      </c>
      <c r="E28" s="307">
        <f t="shared" ca="1" si="9"/>
        <v>32.187562389221874</v>
      </c>
      <c r="F28" s="304">
        <f t="shared" ca="1" si="10"/>
        <v>34.04168663345844</v>
      </c>
      <c r="G28" s="306">
        <f t="shared" ca="1" si="11"/>
        <v>41.30597360096467</v>
      </c>
      <c r="H28" s="307">
        <f t="shared" ca="1" si="12"/>
        <v>156.44813078395774</v>
      </c>
      <c r="I28" s="304">
        <f t="shared" ca="1" si="13"/>
        <v>161.80915017673735</v>
      </c>
      <c r="J28" s="306">
        <f t="shared" ca="1" si="14"/>
        <v>140.73143231838347</v>
      </c>
      <c r="K28" s="307">
        <f t="shared" ca="1" si="15"/>
        <v>601.50934600944447</v>
      </c>
      <c r="L28" s="304">
        <f t="shared" ca="1" si="0"/>
        <v>617.75304886264485</v>
      </c>
      <c r="M28" s="306">
        <f t="shared" ca="1" si="16"/>
        <v>1.3126632981901478</v>
      </c>
      <c r="N28" s="304">
        <f t="shared" ca="1" si="17"/>
        <v>75.210066908018149</v>
      </c>
      <c r="P28" s="310">
        <f t="shared" ca="1" si="18"/>
        <v>3</v>
      </c>
      <c r="Q28" s="304">
        <f t="shared" ca="1" si="19"/>
        <v>193.18965517241423</v>
      </c>
      <c r="R28" s="306">
        <f t="shared" ca="1" si="20"/>
        <v>0.10253536879412044</v>
      </c>
      <c r="S28" s="307">
        <f t="shared" ca="1" si="21"/>
        <v>3.0297552711849622</v>
      </c>
      <c r="T28" s="304">
        <f t="shared" ca="1" si="1"/>
        <v>29.72189921032448</v>
      </c>
      <c r="U28" s="311">
        <f t="shared" ca="1" si="2"/>
        <v>0</v>
      </c>
      <c r="V28" s="306">
        <f t="shared" ca="1" si="3"/>
        <v>1.1534665083042281</v>
      </c>
      <c r="W28" s="304">
        <f t="shared" ca="1" si="4"/>
        <v>61.842069196190657</v>
      </c>
      <c r="Y28" s="314" t="str">
        <f t="shared" ca="1" si="22"/>
        <v/>
      </c>
      <c r="Z28" s="315" t="str">
        <f t="shared" ca="1" si="23"/>
        <v/>
      </c>
      <c r="AA28" s="316" t="str">
        <f t="shared" ca="1" si="24"/>
        <v/>
      </c>
      <c r="AC28" s="310" t="e">
        <f t="shared" ca="1" si="25"/>
        <v>#N/A</v>
      </c>
      <c r="AD28" s="323" t="e">
        <f t="shared" ca="1" si="26"/>
        <v>#N/A</v>
      </c>
      <c r="AE28" s="324">
        <f t="shared" ca="1" si="5"/>
        <v>601.50934600944447</v>
      </c>
      <c r="AG28" s="306">
        <f t="shared" ca="1" si="27"/>
        <v>33.949557797541644</v>
      </c>
      <c r="AH28" s="304">
        <f t="shared" ca="1" si="28"/>
        <v>43.434922619098984</v>
      </c>
    </row>
    <row r="29" spans="1:34" x14ac:dyDescent="0.2">
      <c r="A29" s="347">
        <f t="shared" ca="1" si="6"/>
        <v>0.01</v>
      </c>
      <c r="B29" s="304">
        <f t="shared" ca="1" si="7"/>
        <v>4.8499999999999943</v>
      </c>
      <c r="D29" s="306">
        <f t="shared" ca="1" si="8"/>
        <v>10.997928534358884</v>
      </c>
      <c r="E29" s="307">
        <f t="shared" ca="1" si="9"/>
        <v>31.84512180678427</v>
      </c>
      <c r="F29" s="304">
        <f t="shared" ca="1" si="10"/>
        <v>33.690743757533646</v>
      </c>
      <c r="G29" s="306">
        <f t="shared" ca="1" si="11"/>
        <v>41.415952886308261</v>
      </c>
      <c r="H29" s="307">
        <f t="shared" ca="1" si="12"/>
        <v>156.76658200202559</v>
      </c>
      <c r="I29" s="304">
        <f t="shared" ca="1" si="13"/>
        <v>162.14512754344091</v>
      </c>
      <c r="J29" s="306">
        <f t="shared" ca="1" si="14"/>
        <v>141.14504195081983</v>
      </c>
      <c r="K29" s="307">
        <f t="shared" ca="1" si="15"/>
        <v>603.07541957337435</v>
      </c>
      <c r="L29" s="304">
        <f t="shared" ca="1" si="0"/>
        <v>619.37216966933556</v>
      </c>
      <c r="M29" s="306">
        <f t="shared" ca="1" si="16"/>
        <v>1.3125088528204474</v>
      </c>
      <c r="N29" s="304">
        <f t="shared" ca="1" si="17"/>
        <v>75.201217840168965</v>
      </c>
      <c r="P29" s="310">
        <f t="shared" ca="1" si="18"/>
        <v>3</v>
      </c>
      <c r="Q29" s="304">
        <f t="shared" ca="1" si="19"/>
        <v>192.327586206897</v>
      </c>
      <c r="R29" s="306">
        <f t="shared" ca="1" si="20"/>
        <v>0.10207782587223681</v>
      </c>
      <c r="S29" s="307">
        <f t="shared" ca="1" si="21"/>
        <v>3.0287344929262399</v>
      </c>
      <c r="T29" s="304">
        <f t="shared" ca="1" si="1"/>
        <v>29.711885375606414</v>
      </c>
      <c r="U29" s="311">
        <f t="shared" ca="1" si="2"/>
        <v>0</v>
      </c>
      <c r="V29" s="306">
        <f t="shared" ca="1" si="3"/>
        <v>1.153285717162833</v>
      </c>
      <c r="W29" s="304">
        <f t="shared" ca="1" si="4"/>
        <v>62.089417905718676</v>
      </c>
      <c r="Y29" s="314" t="str">
        <f t="shared" ca="1" si="22"/>
        <v/>
      </c>
      <c r="Z29" s="315" t="str">
        <f t="shared" ca="1" si="23"/>
        <v/>
      </c>
      <c r="AA29" s="316" t="str">
        <f t="shared" ca="1" si="24"/>
        <v/>
      </c>
      <c r="AC29" s="310" t="e">
        <f t="shared" ca="1" si="25"/>
        <v>#N/A</v>
      </c>
      <c r="AD29" s="323" t="e">
        <f t="shared" ca="1" si="26"/>
        <v>#N/A</v>
      </c>
      <c r="AE29" s="324">
        <f t="shared" ca="1" si="5"/>
        <v>603.07541957337435</v>
      </c>
      <c r="AG29" s="306">
        <f t="shared" ca="1" si="27"/>
        <v>33.597543284952884</v>
      </c>
      <c r="AH29" s="304">
        <f t="shared" ca="1" si="28"/>
        <v>43.082520873144134</v>
      </c>
    </row>
    <row r="30" spans="1:34" x14ac:dyDescent="0.2">
      <c r="A30" s="347">
        <f t="shared" ca="1" si="6"/>
        <v>0.01</v>
      </c>
      <c r="B30" s="304">
        <f t="shared" ca="1" si="7"/>
        <v>4.8599999999999941</v>
      </c>
      <c r="D30" s="306">
        <f t="shared" ca="1" si="8"/>
        <v>10.914462272493722</v>
      </c>
      <c r="E30" s="307">
        <f t="shared" ca="1" si="9"/>
        <v>31.503137223858246</v>
      </c>
      <c r="F30" s="304">
        <f t="shared" ca="1" si="10"/>
        <v>33.340263070991682</v>
      </c>
      <c r="G30" s="306">
        <f t="shared" ca="1" si="11"/>
        <v>41.525097509033202</v>
      </c>
      <c r="H30" s="307">
        <f t="shared" ca="1" si="12"/>
        <v>157.08161337426418</v>
      </c>
      <c r="I30" s="304">
        <f t="shared" ca="1" si="13"/>
        <v>162.47758917277338</v>
      </c>
      <c r="J30" s="306">
        <f t="shared" ca="1" si="14"/>
        <v>141.55974720279653</v>
      </c>
      <c r="K30" s="307">
        <f t="shared" ca="1" si="15"/>
        <v>604.64466055025582</v>
      </c>
      <c r="L30" s="304">
        <f t="shared" ca="1" si="0"/>
        <v>620.99462764186114</v>
      </c>
      <c r="M30" s="306">
        <f t="shared" ca="1" si="16"/>
        <v>1.3123546333178939</v>
      </c>
      <c r="N30" s="304">
        <f t="shared" ca="1" si="17"/>
        <v>75.192381713554056</v>
      </c>
      <c r="P30" s="310">
        <f t="shared" ca="1" si="18"/>
        <v>3</v>
      </c>
      <c r="Q30" s="304">
        <f t="shared" ca="1" si="19"/>
        <v>191.46551724137979</v>
      </c>
      <c r="R30" s="306">
        <f t="shared" ca="1" si="20"/>
        <v>0.10162028295035321</v>
      </c>
      <c r="S30" s="307">
        <f t="shared" ca="1" si="21"/>
        <v>3.0277182900967365</v>
      </c>
      <c r="T30" s="304">
        <f t="shared" ca="1" si="1"/>
        <v>29.701916425848989</v>
      </c>
      <c r="U30" s="311">
        <f t="shared" ca="1" si="2"/>
        <v>0</v>
      </c>
      <c r="V30" s="306">
        <f t="shared" ca="1" si="3"/>
        <v>1.1531045879337882</v>
      </c>
      <c r="W30" s="304">
        <f t="shared" ca="1" si="4"/>
        <v>62.334503175257296</v>
      </c>
      <c r="Y30" s="314" t="str">
        <f t="shared" ca="1" si="22"/>
        <v/>
      </c>
      <c r="Z30" s="315" t="str">
        <f t="shared" ca="1" si="23"/>
        <v/>
      </c>
      <c r="AA30" s="316" t="str">
        <f t="shared" ca="1" si="24"/>
        <v/>
      </c>
      <c r="AC30" s="310" t="e">
        <f t="shared" ca="1" si="25"/>
        <v>#N/A</v>
      </c>
      <c r="AD30" s="323" t="e">
        <f t="shared" ca="1" si="26"/>
        <v>#N/A</v>
      </c>
      <c r="AE30" s="324">
        <f t="shared" ca="1" si="5"/>
        <v>604.64466055025582</v>
      </c>
      <c r="AG30" s="306">
        <f t="shared" ca="1" si="27"/>
        <v>33.245969717701158</v>
      </c>
      <c r="AH30" s="304">
        <f t="shared" ca="1" si="28"/>
        <v>42.730560421963006</v>
      </c>
    </row>
    <row r="31" spans="1:34" x14ac:dyDescent="0.2">
      <c r="A31" s="347">
        <f t="shared" ca="1" si="6"/>
        <v>0.01</v>
      </c>
      <c r="B31" s="304">
        <f t="shared" ca="1" si="7"/>
        <v>4.8699999999999939</v>
      </c>
      <c r="D31" s="306">
        <f t="shared" ca="1" si="8"/>
        <v>10.830995734608241</v>
      </c>
      <c r="E31" s="307">
        <f t="shared" ca="1" si="9"/>
        <v>31.16161443322153</v>
      </c>
      <c r="F31" s="304">
        <f t="shared" ca="1" si="10"/>
        <v>32.990251328049354</v>
      </c>
      <c r="G31" s="306">
        <f t="shared" ca="1" si="11"/>
        <v>41.633407466379282</v>
      </c>
      <c r="H31" s="307">
        <f t="shared" ca="1" si="12"/>
        <v>157.3932295185964</v>
      </c>
      <c r="I31" s="304">
        <f t="shared" ca="1" si="13"/>
        <v>162.8065395355946</v>
      </c>
      <c r="J31" s="306">
        <f t="shared" ca="1" si="14"/>
        <v>141.97553972767361</v>
      </c>
      <c r="K31" s="307">
        <f t="shared" ca="1" si="15"/>
        <v>606.2170347647201</v>
      </c>
      <c r="L31" s="304">
        <f t="shared" ca="1" si="0"/>
        <v>622.62038765197383</v>
      </c>
      <c r="M31" s="306">
        <f t="shared" ca="1" si="16"/>
        <v>1.3122006355740676</v>
      </c>
      <c r="N31" s="304">
        <f t="shared" ca="1" si="17"/>
        <v>75.183558292778272</v>
      </c>
      <c r="P31" s="310">
        <f t="shared" ca="1" si="18"/>
        <v>3</v>
      </c>
      <c r="Q31" s="304">
        <f t="shared" ca="1" si="19"/>
        <v>190.60344827586255</v>
      </c>
      <c r="R31" s="306">
        <f t="shared" ca="1" si="20"/>
        <v>0.10116274002846957</v>
      </c>
      <c r="S31" s="307">
        <f t="shared" ca="1" si="21"/>
        <v>3.0267066626964518</v>
      </c>
      <c r="T31" s="304">
        <f t="shared" ca="1" si="1"/>
        <v>29.691992361052193</v>
      </c>
      <c r="U31" s="311">
        <f t="shared" ca="1" si="2"/>
        <v>0</v>
      </c>
      <c r="V31" s="306">
        <f t="shared" ca="1" si="3"/>
        <v>1.1529231247216398</v>
      </c>
      <c r="W31" s="304">
        <f t="shared" ca="1" si="4"/>
        <v>62.577312903332512</v>
      </c>
      <c r="Y31" s="314" t="str">
        <f t="shared" ca="1" si="22"/>
        <v/>
      </c>
      <c r="Z31" s="315" t="str">
        <f t="shared" ca="1" si="23"/>
        <v/>
      </c>
      <c r="AA31" s="316" t="str">
        <f t="shared" ca="1" si="24"/>
        <v/>
      </c>
      <c r="AC31" s="310" t="e">
        <f t="shared" ca="1" si="25"/>
        <v>#N/A</v>
      </c>
      <c r="AD31" s="323" t="e">
        <f t="shared" ca="1" si="26"/>
        <v>#N/A</v>
      </c>
      <c r="AE31" s="324">
        <f t="shared" ca="1" si="5"/>
        <v>606.2170347647201</v>
      </c>
      <c r="AG31" s="306">
        <f t="shared" ca="1" si="27"/>
        <v>32.894843231784854</v>
      </c>
      <c r="AH31" s="304">
        <f t="shared" ca="1" si="28"/>
        <v>42.379047392168559</v>
      </c>
    </row>
    <row r="32" spans="1:34" x14ac:dyDescent="0.2">
      <c r="A32" s="347">
        <f t="shared" ca="1" si="6"/>
        <v>0.01</v>
      </c>
      <c r="B32" s="304">
        <f t="shared" ca="1" si="7"/>
        <v>4.8799999999999937</v>
      </c>
      <c r="D32" s="306">
        <f t="shared" ca="1" si="8"/>
        <v>10.74753107077227</v>
      </c>
      <c r="E32" s="307">
        <f t="shared" ca="1" si="9"/>
        <v>30.82055914763486</v>
      </c>
      <c r="F32" s="304">
        <f t="shared" ca="1" si="10"/>
        <v>32.640715223323063</v>
      </c>
      <c r="G32" s="306">
        <f t="shared" ca="1" si="11"/>
        <v>41.740882777087002</v>
      </c>
      <c r="H32" s="307">
        <f t="shared" ca="1" si="12"/>
        <v>157.70143511007274</v>
      </c>
      <c r="I32" s="304">
        <f t="shared" ca="1" si="13"/>
        <v>163.13198316328715</v>
      </c>
      <c r="J32" s="306">
        <f t="shared" ca="1" si="14"/>
        <v>142.39241117889094</v>
      </c>
      <c r="K32" s="307">
        <f t="shared" ca="1" si="15"/>
        <v>607.79250808786344</v>
      </c>
      <c r="L32" s="304">
        <f t="shared" ca="1" si="0"/>
        <v>624.24941461652475</v>
      </c>
      <c r="M32" s="306">
        <f t="shared" ca="1" si="16"/>
        <v>1.3120468555215907</v>
      </c>
      <c r="N32" s="304">
        <f t="shared" ca="1" si="17"/>
        <v>75.174747344798035</v>
      </c>
      <c r="P32" s="310">
        <f t="shared" ca="1" si="18"/>
        <v>3</v>
      </c>
      <c r="Q32" s="304">
        <f t="shared" ca="1" si="19"/>
        <v>189.74137931034534</v>
      </c>
      <c r="R32" s="306">
        <f t="shared" ca="1" si="20"/>
        <v>0.10070519710658597</v>
      </c>
      <c r="S32" s="307">
        <f t="shared" ca="1" si="21"/>
        <v>3.0256996107253862</v>
      </c>
      <c r="T32" s="304">
        <f t="shared" ca="1" si="1"/>
        <v>29.682113181216039</v>
      </c>
      <c r="U32" s="311">
        <f t="shared" ca="1" si="2"/>
        <v>0</v>
      </c>
      <c r="V32" s="306">
        <f t="shared" ca="1" si="3"/>
        <v>1.1527413316234212</v>
      </c>
      <c r="W32" s="304">
        <f t="shared" ca="1" si="4"/>
        <v>62.81783525285887</v>
      </c>
      <c r="Y32" s="314" t="str">
        <f t="shared" ca="1" si="22"/>
        <v/>
      </c>
      <c r="Z32" s="315" t="str">
        <f t="shared" ca="1" si="23"/>
        <v/>
      </c>
      <c r="AA32" s="316" t="str">
        <f t="shared" ca="1" si="24"/>
        <v/>
      </c>
      <c r="AC32" s="310" t="e">
        <f t="shared" ca="1" si="25"/>
        <v>#N/A</v>
      </c>
      <c r="AD32" s="323" t="e">
        <f t="shared" ca="1" si="26"/>
        <v>#N/A</v>
      </c>
      <c r="AE32" s="324">
        <f t="shared" ca="1" si="5"/>
        <v>607.79250808786344</v>
      </c>
      <c r="AG32" s="306">
        <f t="shared" ca="1" si="27"/>
        <v>32.544169879514001</v>
      </c>
      <c r="AH32" s="304">
        <f t="shared" ca="1" si="28"/>
        <v>42.027987826764566</v>
      </c>
    </row>
    <row r="33" spans="1:34" x14ac:dyDescent="0.2">
      <c r="A33" s="347">
        <f t="shared" ca="1" si="6"/>
        <v>0.01</v>
      </c>
      <c r="B33" s="304">
        <f t="shared" ca="1" si="7"/>
        <v>4.8899999999999935</v>
      </c>
      <c r="D33" s="306">
        <f t="shared" ca="1" si="8"/>
        <v>10.66407040540798</v>
      </c>
      <c r="E33" s="307">
        <f t="shared" ca="1" si="9"/>
        <v>30.479976999979932</v>
      </c>
      <c r="F33" s="304">
        <f t="shared" ca="1" si="10"/>
        <v>32.291661393164709</v>
      </c>
      <c r="G33" s="306">
        <f t="shared" ca="1" si="11"/>
        <v>41.847523481141081</v>
      </c>
      <c r="H33" s="307">
        <f t="shared" ca="1" si="12"/>
        <v>158.00623488007253</v>
      </c>
      <c r="I33" s="304">
        <f t="shared" ca="1" si="13"/>
        <v>163.45392464692091</v>
      </c>
      <c r="J33" s="306">
        <f t="shared" ca="1" si="14"/>
        <v>142.81035321018209</v>
      </c>
      <c r="K33" s="307">
        <f t="shared" ca="1" si="15"/>
        <v>609.37104643781413</v>
      </c>
      <c r="L33" s="304">
        <f t="shared" ca="1" si="0"/>
        <v>625.8816734980611</v>
      </c>
      <c r="M33" s="306">
        <f t="shared" ca="1" si="16"/>
        <v>1.3118932891333315</v>
      </c>
      <c r="N33" s="304">
        <f t="shared" ca="1" si="17"/>
        <v>75.165948638875719</v>
      </c>
      <c r="P33" s="310">
        <f t="shared" ca="1" si="18"/>
        <v>3</v>
      </c>
      <c r="Q33" s="304">
        <f t="shared" ca="1" si="19"/>
        <v>188.8793103448281</v>
      </c>
      <c r="R33" s="306">
        <f t="shared" ca="1" si="20"/>
        <v>0.10024765418470236</v>
      </c>
      <c r="S33" s="307">
        <f t="shared" ca="1" si="21"/>
        <v>3.0246971341835391</v>
      </c>
      <c r="T33" s="304">
        <f t="shared" ca="1" si="1"/>
        <v>29.672278886340521</v>
      </c>
      <c r="U33" s="311">
        <f t="shared" ca="1" si="2"/>
        <v>0</v>
      </c>
      <c r="V33" s="306">
        <f t="shared" ca="1" si="3"/>
        <v>1.1525592127285862</v>
      </c>
      <c r="W33" s="304">
        <f t="shared" ca="1" si="4"/>
        <v>63.056058649965728</v>
      </c>
      <c r="Y33" s="314" t="str">
        <f t="shared" ca="1" si="22"/>
        <v/>
      </c>
      <c r="Z33" s="315" t="str">
        <f t="shared" ca="1" si="23"/>
        <v/>
      </c>
      <c r="AA33" s="316" t="str">
        <f t="shared" ca="1" si="24"/>
        <v/>
      </c>
      <c r="AC33" s="310" t="e">
        <f t="shared" ca="1" si="25"/>
        <v>#N/A</v>
      </c>
      <c r="AD33" s="323" t="e">
        <f t="shared" ca="1" si="26"/>
        <v>#N/A</v>
      </c>
      <c r="AE33" s="324">
        <f t="shared" ca="1" si="5"/>
        <v>609.37104643781413</v>
      </c>
      <c r="AG33" s="306">
        <f t="shared" ca="1" si="27"/>
        <v>32.193955629661673</v>
      </c>
      <c r="AH33" s="304">
        <f t="shared" ca="1" si="28"/>
        <v>41.677387685295372</v>
      </c>
    </row>
    <row r="34" spans="1:34" x14ac:dyDescent="0.2">
      <c r="A34" s="347">
        <f t="shared" ca="1" si="6"/>
        <v>0.01</v>
      </c>
      <c r="B34" s="304">
        <f t="shared" ca="1" si="7"/>
        <v>4.8999999999999932</v>
      </c>
      <c r="D34" s="306">
        <f t="shared" ca="1" si="8"/>
        <v>10.580615837376447</v>
      </c>
      <c r="E34" s="307">
        <f t="shared" ca="1" si="9"/>
        <v>30.139873543406452</v>
      </c>
      <c r="F34" s="304">
        <f t="shared" ca="1" si="10"/>
        <v>31.943096417076937</v>
      </c>
      <c r="G34" s="306">
        <f t="shared" ca="1" si="11"/>
        <v>41.953329639514848</v>
      </c>
      <c r="H34" s="307">
        <f t="shared" ca="1" si="12"/>
        <v>158.3076336155066</v>
      </c>
      <c r="I34" s="304">
        <f t="shared" ca="1" si="13"/>
        <v>163.77236863641949</v>
      </c>
      <c r="J34" s="306">
        <f t="shared" ca="1" si="14"/>
        <v>143.22935747578538</v>
      </c>
      <c r="K34" s="307">
        <f t="shared" ca="1" si="15"/>
        <v>610.95261578029204</v>
      </c>
      <c r="L34" s="304">
        <f t="shared" ca="1" si="0"/>
        <v>627.51712930541385</v>
      </c>
      <c r="M34" s="306">
        <f t="shared" ca="1" si="16"/>
        <v>1.3117399324216237</v>
      </c>
      <c r="N34" s="304">
        <f t="shared" ca="1" si="17"/>
        <v>75.157161946534856</v>
      </c>
      <c r="P34" s="310">
        <f t="shared" ca="1" si="18"/>
        <v>3</v>
      </c>
      <c r="Q34" s="304">
        <f t="shared" ca="1" si="19"/>
        <v>188.01724137931089</v>
      </c>
      <c r="R34" s="306">
        <f t="shared" ca="1" si="20"/>
        <v>9.979011126281874E-2</v>
      </c>
      <c r="S34" s="307">
        <f t="shared" ca="1" si="21"/>
        <v>3.0236992330709112</v>
      </c>
      <c r="T34" s="304">
        <f t="shared" ca="1" si="1"/>
        <v>29.662489476425641</v>
      </c>
      <c r="U34" s="311">
        <f t="shared" ca="1" si="2"/>
        <v>0</v>
      </c>
      <c r="V34" s="306">
        <f t="shared" ca="1" si="3"/>
        <v>1.152376772118932</v>
      </c>
      <c r="W34" s="304">
        <f t="shared" ca="1" si="4"/>
        <v>63.29197178280171</v>
      </c>
      <c r="Y34" s="314" t="str">
        <f t="shared" ca="1" si="22"/>
        <v/>
      </c>
      <c r="Z34" s="315" t="str">
        <f t="shared" ca="1" si="23"/>
        <v/>
      </c>
      <c r="AA34" s="316" t="str">
        <f t="shared" ca="1" si="24"/>
        <v/>
      </c>
      <c r="AC34" s="310" t="e">
        <f t="shared" ca="1" si="25"/>
        <v>#N/A</v>
      </c>
      <c r="AD34" s="323" t="e">
        <f t="shared" ca="1" si="26"/>
        <v>#N/A</v>
      </c>
      <c r="AE34" s="324">
        <f t="shared" ca="1" si="5"/>
        <v>610.95261578029204</v>
      </c>
      <c r="AG34" s="306">
        <f t="shared" ca="1" si="27"/>
        <v>31.844206367624587</v>
      </c>
      <c r="AH34" s="304">
        <f t="shared" ca="1" si="28"/>
        <v>41.327252844004867</v>
      </c>
    </row>
    <row r="35" spans="1:34" x14ac:dyDescent="0.2">
      <c r="A35" s="347">
        <f t="shared" ca="1" si="6"/>
        <v>0.01</v>
      </c>
      <c r="B35" s="304">
        <f t="shared" ca="1" si="7"/>
        <v>4.909999999999993</v>
      </c>
      <c r="D35" s="306">
        <f t="shared" ca="1" si="8"/>
        <v>10.497169440065026</v>
      </c>
      <c r="E35" s="307">
        <f t="shared" ca="1" si="9"/>
        <v>29.800254251488859</v>
      </c>
      <c r="F35" s="304">
        <f t="shared" ca="1" si="10"/>
        <v>31.595026819213416</v>
      </c>
      <c r="G35" s="306">
        <f t="shared" ca="1" si="11"/>
        <v>42.058301333915502</v>
      </c>
      <c r="H35" s="307">
        <f t="shared" ca="1" si="12"/>
        <v>158.6056361580215</v>
      </c>
      <c r="I35" s="304">
        <f t="shared" ca="1" si="13"/>
        <v>164.08731983972783</v>
      </c>
      <c r="J35" s="306">
        <f t="shared" ca="1" si="14"/>
        <v>143.64941563065253</v>
      </c>
      <c r="K35" s="307">
        <f t="shared" ca="1" si="15"/>
        <v>612.53718212915965</v>
      </c>
      <c r="L35" s="304">
        <f t="shared" ca="1" si="0"/>
        <v>629.15574709427813</v>
      </c>
      <c r="M35" s="306">
        <f t="shared" ca="1" si="16"/>
        <v>1.3115867814375022</v>
      </c>
      <c r="N35" s="304">
        <f t="shared" ca="1" si="17"/>
        <v>75.148387041516415</v>
      </c>
      <c r="P35" s="310">
        <f t="shared" ca="1" si="18"/>
        <v>3</v>
      </c>
      <c r="Q35" s="304">
        <f t="shared" ca="1" si="19"/>
        <v>187.15517241379365</v>
      </c>
      <c r="R35" s="306">
        <f t="shared" ca="1" si="20"/>
        <v>9.9332568340935123E-2</v>
      </c>
      <c r="S35" s="307">
        <f t="shared" ca="1" si="21"/>
        <v>3.0227059073875018</v>
      </c>
      <c r="T35" s="304">
        <f t="shared" ca="1" si="1"/>
        <v>29.652744951471394</v>
      </c>
      <c r="U35" s="311">
        <f t="shared" ca="1" si="2"/>
        <v>0</v>
      </c>
      <c r="V35" s="306">
        <f t="shared" ca="1" si="3"/>
        <v>1.1521940138685334</v>
      </c>
      <c r="W35" s="304">
        <f t="shared" ca="1" si="4"/>
        <v>63.52556360031879</v>
      </c>
      <c r="Y35" s="314" t="str">
        <f t="shared" ca="1" si="22"/>
        <v/>
      </c>
      <c r="Z35" s="315" t="str">
        <f t="shared" ca="1" si="23"/>
        <v/>
      </c>
      <c r="AA35" s="316" t="str">
        <f t="shared" ca="1" si="24"/>
        <v/>
      </c>
      <c r="AC35" s="310" t="e">
        <f t="shared" ca="1" si="25"/>
        <v>#N/A</v>
      </c>
      <c r="AD35" s="323" t="e">
        <f t="shared" ca="1" si="26"/>
        <v>#N/A</v>
      </c>
      <c r="AE35" s="324">
        <f t="shared" ca="1" si="5"/>
        <v>612.53718212915965</v>
      </c>
      <c r="AG35" s="306">
        <f t="shared" ca="1" si="27"/>
        <v>31.494927895593143</v>
      </c>
      <c r="AH35" s="304">
        <f t="shared" ca="1" si="28"/>
        <v>40.977589096004984</v>
      </c>
    </row>
    <row r="36" spans="1:34" x14ac:dyDescent="0.2">
      <c r="A36" s="347">
        <f t="shared" ca="1" si="6"/>
        <v>0.01</v>
      </c>
      <c r="B36" s="304">
        <f t="shared" ca="1" si="7"/>
        <v>4.9199999999999928</v>
      </c>
      <c r="D36" s="306">
        <f t="shared" ca="1" si="8"/>
        <v>10.413733261475326</v>
      </c>
      <c r="E36" s="307">
        <f t="shared" ca="1" si="9"/>
        <v>29.461124518391856</v>
      </c>
      <c r="F36" s="304">
        <f t="shared" ca="1" si="10"/>
        <v>31.24745906996835</v>
      </c>
      <c r="G36" s="306">
        <f t="shared" ca="1" si="11"/>
        <v>42.162438666530257</v>
      </c>
      <c r="H36" s="307">
        <f t="shared" ca="1" si="12"/>
        <v>158.90024740320541</v>
      </c>
      <c r="I36" s="304">
        <f t="shared" ca="1" si="13"/>
        <v>164.3987830219823</v>
      </c>
      <c r="J36" s="306">
        <f t="shared" ca="1" si="14"/>
        <v>144.07051933065475</v>
      </c>
      <c r="K36" s="307">
        <f t="shared" ca="1" si="15"/>
        <v>614.12471154696573</v>
      </c>
      <c r="L36" s="304">
        <f t="shared" ca="1" si="0"/>
        <v>630.7974919677855</v>
      </c>
      <c r="M36" s="306">
        <f t="shared" ca="1" si="16"/>
        <v>1.311433832269953</v>
      </c>
      <c r="N36" s="304">
        <f t="shared" ca="1" si="17"/>
        <v>75.139623699735807</v>
      </c>
      <c r="P36" s="310">
        <f t="shared" ca="1" si="18"/>
        <v>3</v>
      </c>
      <c r="Q36" s="304">
        <f t="shared" ca="1" si="19"/>
        <v>186.29310344827644</v>
      </c>
      <c r="R36" s="306">
        <f t="shared" ca="1" si="20"/>
        <v>9.8875025419051507E-2</v>
      </c>
      <c r="S36" s="307">
        <f t="shared" ca="1" si="21"/>
        <v>3.0217171571333115</v>
      </c>
      <c r="T36" s="304">
        <f t="shared" ca="1" si="1"/>
        <v>29.643045311477788</v>
      </c>
      <c r="U36" s="311">
        <f t="shared" ca="1" si="2"/>
        <v>0</v>
      </c>
      <c r="V36" s="306">
        <f t="shared" ca="1" si="3"/>
        <v>1.1520109420436724</v>
      </c>
      <c r="W36" s="304">
        <f t="shared" ca="1" si="4"/>
        <v>63.756823311036122</v>
      </c>
      <c r="Y36" s="314" t="str">
        <f t="shared" ca="1" si="22"/>
        <v/>
      </c>
      <c r="Z36" s="315" t="str">
        <f t="shared" ca="1" si="23"/>
        <v/>
      </c>
      <c r="AA36" s="316" t="str">
        <f t="shared" ca="1" si="24"/>
        <v/>
      </c>
      <c r="AC36" s="310" t="e">
        <f t="shared" ca="1" si="25"/>
        <v>#N/A</v>
      </c>
      <c r="AD36" s="323" t="e">
        <f t="shared" ca="1" si="26"/>
        <v>#N/A</v>
      </c>
      <c r="AE36" s="324">
        <f t="shared" ca="1" si="5"/>
        <v>614.12471154696573</v>
      </c>
      <c r="AG36" s="306">
        <f t="shared" ca="1" si="27"/>
        <v>31.146125932730392</v>
      </c>
      <c r="AH36" s="304">
        <f t="shared" ca="1" si="28"/>
        <v>40.628402151453059</v>
      </c>
    </row>
    <row r="37" spans="1:34" x14ac:dyDescent="0.2">
      <c r="A37" s="347">
        <f t="shared" ca="1" si="6"/>
        <v>0.01</v>
      </c>
      <c r="B37" s="304">
        <f t="shared" ca="1" si="7"/>
        <v>4.9299999999999926</v>
      </c>
      <c r="D37" s="306">
        <f t="shared" ca="1" si="8"/>
        <v>10.330309324311951</v>
      </c>
      <c r="E37" s="307">
        <f t="shared" ca="1" si="9"/>
        <v>29.122489659045002</v>
      </c>
      <c r="F37" s="304">
        <f t="shared" ca="1" si="10"/>
        <v>30.900399587661475</v>
      </c>
      <c r="G37" s="306">
        <f t="shared" ca="1" si="11"/>
        <v>42.265741759773377</v>
      </c>
      <c r="H37" s="307">
        <f t="shared" ca="1" si="12"/>
        <v>159.19147229979586</v>
      </c>
      <c r="I37" s="304">
        <f t="shared" ca="1" si="13"/>
        <v>164.70676300468213</v>
      </c>
      <c r="J37" s="306">
        <f t="shared" ca="1" si="14"/>
        <v>144.49266023278628</v>
      </c>
      <c r="K37" s="307">
        <f t="shared" ca="1" si="15"/>
        <v>615.71517014548078</v>
      </c>
      <c r="L37" s="304">
        <f t="shared" ca="1" si="0"/>
        <v>632.4423290770676</v>
      </c>
      <c r="M37" s="306">
        <f t="shared" ca="1" si="16"/>
        <v>1.3112810810451794</v>
      </c>
      <c r="N37" s="304">
        <f t="shared" ca="1" si="17"/>
        <v>75.130871699240828</v>
      </c>
      <c r="P37" s="310">
        <f t="shared" ca="1" si="18"/>
        <v>3</v>
      </c>
      <c r="Q37" s="304">
        <f t="shared" ca="1" si="19"/>
        <v>185.43103448275923</v>
      </c>
      <c r="R37" s="306">
        <f t="shared" ca="1" si="20"/>
        <v>9.8417482497167905E-2</v>
      </c>
      <c r="S37" s="307">
        <f t="shared" ca="1" si="21"/>
        <v>3.0207329823083398</v>
      </c>
      <c r="T37" s="304">
        <f t="shared" ca="1" si="1"/>
        <v>29.633390556444816</v>
      </c>
      <c r="U37" s="311">
        <f t="shared" ca="1" si="2"/>
        <v>0</v>
      </c>
      <c r="V37" s="306">
        <f t="shared" ca="1" si="3"/>
        <v>1.151827560702771</v>
      </c>
      <c r="W37" s="304">
        <f t="shared" ca="1" si="4"/>
        <v>63.985740381783884</v>
      </c>
      <c r="Y37" s="314" t="str">
        <f t="shared" ca="1" si="22"/>
        <v/>
      </c>
      <c r="Z37" s="315" t="str">
        <f t="shared" ca="1" si="23"/>
        <v/>
      </c>
      <c r="AA37" s="316" t="str">
        <f t="shared" ca="1" si="24"/>
        <v/>
      </c>
      <c r="AC37" s="310" t="e">
        <f t="shared" ca="1" si="25"/>
        <v>#N/A</v>
      </c>
      <c r="AD37" s="323" t="e">
        <f t="shared" ca="1" si="26"/>
        <v>#N/A</v>
      </c>
      <c r="AE37" s="324">
        <f t="shared" ca="1" si="5"/>
        <v>615.71517014548078</v>
      </c>
      <c r="AG37" s="306">
        <f t="shared" ca="1" si="27"/>
        <v>30.79780611535989</v>
      </c>
      <c r="AH37" s="304">
        <f t="shared" ca="1" si="28"/>
        <v>40.279697637738202</v>
      </c>
    </row>
    <row r="38" spans="1:34" x14ac:dyDescent="0.2">
      <c r="A38" s="347">
        <f t="shared" ca="1" si="6"/>
        <v>0.01</v>
      </c>
      <c r="B38" s="304">
        <f t="shared" ca="1" si="7"/>
        <v>4.9399999999999924</v>
      </c>
      <c r="D38" s="306">
        <f t="shared" ca="1" si="8"/>
        <v>10.246899626071947</v>
      </c>
      <c r="E38" s="307">
        <f t="shared" ca="1" si="9"/>
        <v>28.784354909326147</v>
      </c>
      <c r="F38" s="304">
        <f t="shared" ca="1" si="10"/>
        <v>30.553854740324365</v>
      </c>
      <c r="G38" s="306">
        <f t="shared" ca="1" si="11"/>
        <v>42.368210756034095</v>
      </c>
      <c r="H38" s="307">
        <f t="shared" ca="1" si="12"/>
        <v>159.47931584888912</v>
      </c>
      <c r="I38" s="304">
        <f t="shared" ca="1" si="13"/>
        <v>165.01126466486298</v>
      </c>
      <c r="J38" s="306">
        <f t="shared" ca="1" si="14"/>
        <v>144.91582999536533</v>
      </c>
      <c r="K38" s="307">
        <f t="shared" ca="1" si="15"/>
        <v>617.30852408622422</v>
      </c>
      <c r="L38" s="304">
        <f t="shared" ca="1" si="0"/>
        <v>634.09022362181088</v>
      </c>
      <c r="M38" s="306">
        <f t="shared" ca="1" si="16"/>
        <v>1.3111285239258805</v>
      </c>
      <c r="N38" s="304">
        <f t="shared" ca="1" si="17"/>
        <v>75.122130820170327</v>
      </c>
      <c r="P38" s="310">
        <f t="shared" ca="1" si="18"/>
        <v>3</v>
      </c>
      <c r="Q38" s="304">
        <f t="shared" ca="1" si="19"/>
        <v>184.56896551724199</v>
      </c>
      <c r="R38" s="306">
        <f t="shared" ca="1" si="20"/>
        <v>9.7959939575284288E-2</v>
      </c>
      <c r="S38" s="307">
        <f t="shared" ca="1" si="21"/>
        <v>3.0197533829125871</v>
      </c>
      <c r="T38" s="304">
        <f t="shared" ca="1" si="1"/>
        <v>29.623780686372481</v>
      </c>
      <c r="U38" s="311">
        <f t="shared" ca="1" si="2"/>
        <v>0</v>
      </c>
      <c r="V38" s="306">
        <f t="shared" ca="1" si="3"/>
        <v>1.1516438738963246</v>
      </c>
      <c r="W38" s="304">
        <f t="shared" ca="1" si="4"/>
        <v>64.212304536427879</v>
      </c>
      <c r="Y38" s="314" t="str">
        <f t="shared" ca="1" si="22"/>
        <v/>
      </c>
      <c r="Z38" s="315" t="str">
        <f t="shared" ca="1" si="23"/>
        <v/>
      </c>
      <c r="AA38" s="316" t="str">
        <f t="shared" ca="1" si="24"/>
        <v/>
      </c>
      <c r="AC38" s="310" t="e">
        <f t="shared" ca="1" si="25"/>
        <v>#N/A</v>
      </c>
      <c r="AD38" s="323" t="e">
        <f t="shared" ca="1" si="26"/>
        <v>#N/A</v>
      </c>
      <c r="AE38" s="324">
        <f t="shared" ca="1" si="5"/>
        <v>617.30852408622422</v>
      </c>
      <c r="AG38" s="306">
        <f t="shared" ca="1" si="27"/>
        <v>30.449973997162406</v>
      </c>
      <c r="AH38" s="304">
        <f t="shared" ca="1" si="28"/>
        <v>39.931481099676489</v>
      </c>
    </row>
    <row r="39" spans="1:34" x14ac:dyDescent="0.2">
      <c r="A39" s="347">
        <f t="shared" ca="1" si="6"/>
        <v>0.01</v>
      </c>
      <c r="B39" s="304">
        <f t="shared" ca="1" si="7"/>
        <v>4.9499999999999922</v>
      </c>
      <c r="D39" s="306">
        <f t="shared" ca="1" si="8"/>
        <v>10.163506139135025</v>
      </c>
      <c r="E39" s="307">
        <f t="shared" ca="1" si="9"/>
        <v>28.446725426253529</v>
      </c>
      <c r="F39" s="304">
        <f t="shared" ca="1" si="10"/>
        <v>30.207830847594707</v>
      </c>
      <c r="G39" s="306">
        <f t="shared" ca="1" si="11"/>
        <v>42.469845817425444</v>
      </c>
      <c r="H39" s="307">
        <f t="shared" ca="1" si="12"/>
        <v>159.76378310315164</v>
      </c>
      <c r="I39" s="304">
        <f t="shared" ca="1" si="13"/>
        <v>165.31229293427265</v>
      </c>
      <c r="J39" s="306">
        <f t="shared" ca="1" si="14"/>
        <v>145.34002027823263</v>
      </c>
      <c r="K39" s="307">
        <f t="shared" ca="1" si="15"/>
        <v>618.90473958098448</v>
      </c>
      <c r="L39" s="304">
        <f t="shared" ca="1" si="0"/>
        <v>635.7411408508051</v>
      </c>
      <c r="M39" s="306">
        <f t="shared" ca="1" si="16"/>
        <v>1.310976157110546</v>
      </c>
      <c r="N39" s="304">
        <f t="shared" ca="1" si="17"/>
        <v>75.113400844713823</v>
      </c>
      <c r="P39" s="310">
        <f t="shared" ca="1" si="18"/>
        <v>3</v>
      </c>
      <c r="Q39" s="304">
        <f t="shared" ca="1" si="19"/>
        <v>183.70689655172475</v>
      </c>
      <c r="R39" s="306">
        <f t="shared" ca="1" si="20"/>
        <v>9.7502396653400658E-2</v>
      </c>
      <c r="S39" s="307">
        <f t="shared" ca="1" si="21"/>
        <v>3.0187783589460531</v>
      </c>
      <c r="T39" s="304">
        <f t="shared" ca="1" si="1"/>
        <v>29.614215701260783</v>
      </c>
      <c r="U39" s="311">
        <f t="shared" ca="1" si="2"/>
        <v>0</v>
      </c>
      <c r="V39" s="306">
        <f t="shared" ca="1" si="3"/>
        <v>1.1514598856668359</v>
      </c>
      <c r="W39" s="304">
        <f t="shared" ca="1" si="4"/>
        <v>64.436505754575464</v>
      </c>
      <c r="Y39" s="314" t="str">
        <f t="shared" ca="1" si="22"/>
        <v/>
      </c>
      <c r="Z39" s="315" t="str">
        <f t="shared" ca="1" si="23"/>
        <v/>
      </c>
      <c r="AA39" s="316" t="str">
        <f t="shared" ca="1" si="24"/>
        <v/>
      </c>
      <c r="AC39" s="310" t="e">
        <f t="shared" ca="1" si="25"/>
        <v>#N/A</v>
      </c>
      <c r="AD39" s="323" t="e">
        <f t="shared" ca="1" si="26"/>
        <v>#N/A</v>
      </c>
      <c r="AE39" s="324">
        <f t="shared" ca="1" si="5"/>
        <v>618.90473958098448</v>
      </c>
      <c r="AG39" s="306">
        <f t="shared" ca="1" si="27"/>
        <v>30.102635049381252</v>
      </c>
      <c r="AH39" s="304">
        <f t="shared" ca="1" si="28"/>
        <v>39.583757999714841</v>
      </c>
    </row>
    <row r="40" spans="1:34" x14ac:dyDescent="0.2">
      <c r="A40" s="347">
        <f t="shared" ca="1" si="6"/>
        <v>0.01</v>
      </c>
      <c r="B40" s="304">
        <f t="shared" ca="1" si="7"/>
        <v>4.959999999999992</v>
      </c>
      <c r="D40" s="306">
        <f t="shared" ca="1" si="8"/>
        <v>10.080130810854468</v>
      </c>
      <c r="E40" s="307">
        <f t="shared" ca="1" si="9"/>
        <v>28.109606288186328</v>
      </c>
      <c r="F40" s="304">
        <f t="shared" ca="1" si="10"/>
        <v>29.862334182725601</v>
      </c>
      <c r="G40" s="306">
        <f t="shared" ca="1" si="11"/>
        <v>42.570647125533988</v>
      </c>
      <c r="H40" s="307">
        <f t="shared" ca="1" si="12"/>
        <v>160.0448791660335</v>
      </c>
      <c r="I40" s="304">
        <f t="shared" ca="1" si="13"/>
        <v>165.60985279854879</v>
      </c>
      <c r="J40" s="306">
        <f t="shared" ca="1" si="14"/>
        <v>145.76522274294743</v>
      </c>
      <c r="K40" s="307">
        <f t="shared" ca="1" si="15"/>
        <v>620.50378289233038</v>
      </c>
      <c r="L40" s="304">
        <f t="shared" ca="1" si="0"/>
        <v>637.39504606248181</v>
      </c>
      <c r="M40" s="306">
        <f t="shared" ca="1" si="16"/>
        <v>1.3108239768327627</v>
      </c>
      <c r="N40" s="304">
        <f t="shared" ca="1" si="17"/>
        <v>75.1046815570717</v>
      </c>
      <c r="P40" s="310">
        <f t="shared" ca="1" si="18"/>
        <v>3</v>
      </c>
      <c r="Q40" s="304">
        <f t="shared" ca="1" si="19"/>
        <v>182.84482758620754</v>
      </c>
      <c r="R40" s="306">
        <f t="shared" ca="1" si="20"/>
        <v>9.7044853731517056E-2</v>
      </c>
      <c r="S40" s="307">
        <f t="shared" ca="1" si="21"/>
        <v>3.0178079104087381</v>
      </c>
      <c r="T40" s="304">
        <f t="shared" ca="1" si="1"/>
        <v>29.604695601109722</v>
      </c>
      <c r="U40" s="311">
        <f t="shared" ca="1" si="2"/>
        <v>0</v>
      </c>
      <c r="V40" s="306">
        <f t="shared" ca="1" si="3"/>
        <v>1.1512756000487505</v>
      </c>
      <c r="W40" s="304">
        <f t="shared" ca="1" si="4"/>
        <v>64.658334270262827</v>
      </c>
      <c r="Y40" s="314" t="str">
        <f t="shared" ca="1" si="22"/>
        <v/>
      </c>
      <c r="Z40" s="315" t="str">
        <f t="shared" ca="1" si="23"/>
        <v/>
      </c>
      <c r="AA40" s="316" t="str">
        <f t="shared" ca="1" si="24"/>
        <v/>
      </c>
      <c r="AC40" s="310" t="e">
        <f t="shared" ca="1" si="25"/>
        <v>#N/A</v>
      </c>
      <c r="AD40" s="323" t="e">
        <f t="shared" ca="1" si="26"/>
        <v>#N/A</v>
      </c>
      <c r="AE40" s="324">
        <f t="shared" ca="1" si="5"/>
        <v>620.50378289233038</v>
      </c>
      <c r="AG40" s="306">
        <f t="shared" ca="1" si="27"/>
        <v>29.755794661036045</v>
      </c>
      <c r="AH40" s="304">
        <f t="shared" ca="1" si="28"/>
        <v>39.23653371814332</v>
      </c>
    </row>
    <row r="41" spans="1:34" x14ac:dyDescent="0.2">
      <c r="A41" s="347">
        <f t="shared" ca="1" si="6"/>
        <v>0.01</v>
      </c>
      <c r="B41" s="304">
        <f t="shared" ca="1" si="7"/>
        <v>4.9699999999999918</v>
      </c>
      <c r="D41" s="306">
        <f t="shared" ca="1" si="8"/>
        <v>9.9967755636488658</v>
      </c>
      <c r="E41" s="307">
        <f t="shared" ca="1" si="9"/>
        <v>27.773002495033602</v>
      </c>
      <c r="F41" s="304">
        <f t="shared" ca="1" si="10"/>
        <v>29.517370974717746</v>
      </c>
      <c r="G41" s="306">
        <f t="shared" ca="1" si="11"/>
        <v>42.670614881170479</v>
      </c>
      <c r="H41" s="307">
        <f t="shared" ca="1" si="12"/>
        <v>160.32260919098383</v>
      </c>
      <c r="I41" s="304">
        <f t="shared" ca="1" si="13"/>
        <v>165.90394929639891</v>
      </c>
      <c r="J41" s="306">
        <f t="shared" ca="1" si="14"/>
        <v>146.19142905298096</v>
      </c>
      <c r="K41" s="307">
        <f t="shared" ca="1" si="15"/>
        <v>622.10562033411543</v>
      </c>
      <c r="L41" s="304">
        <f t="shared" ca="1" si="0"/>
        <v>639.05190460544543</v>
      </c>
      <c r="M41" s="306">
        <f t="shared" ca="1" si="16"/>
        <v>1.3106719793605359</v>
      </c>
      <c r="N41" s="304">
        <f t="shared" ca="1" si="17"/>
        <v>75.095972743416453</v>
      </c>
      <c r="P41" s="310">
        <f t="shared" ca="1" si="18"/>
        <v>3</v>
      </c>
      <c r="Q41" s="304">
        <f t="shared" ca="1" si="19"/>
        <v>181.98275862069033</v>
      </c>
      <c r="R41" s="306">
        <f t="shared" ca="1" si="20"/>
        <v>9.6587310809633439E-2</v>
      </c>
      <c r="S41" s="307">
        <f t="shared" ca="1" si="21"/>
        <v>3.0168420373006417</v>
      </c>
      <c r="T41" s="304">
        <f t="shared" ca="1" si="1"/>
        <v>29.595220385919298</v>
      </c>
      <c r="U41" s="311">
        <f t="shared" ca="1" si="2"/>
        <v>0</v>
      </c>
      <c r="V41" s="306">
        <f t="shared" ca="1" si="3"/>
        <v>1.1510910210683964</v>
      </c>
      <c r="W41" s="304">
        <f t="shared" ca="1" si="4"/>
        <v>64.877780570624893</v>
      </c>
      <c r="Y41" s="314" t="str">
        <f t="shared" ca="1" si="22"/>
        <v/>
      </c>
      <c r="Z41" s="315" t="str">
        <f t="shared" ca="1" si="23"/>
        <v/>
      </c>
      <c r="AA41" s="316" t="str">
        <f t="shared" ca="1" si="24"/>
        <v/>
      </c>
      <c r="AC41" s="310" t="e">
        <f t="shared" ca="1" si="25"/>
        <v>#N/A</v>
      </c>
      <c r="AD41" s="323" t="e">
        <f t="shared" ca="1" si="26"/>
        <v>#N/A</v>
      </c>
      <c r="AE41" s="324">
        <f t="shared" ca="1" si="5"/>
        <v>622.10562033411543</v>
      </c>
      <c r="AG41" s="306">
        <f t="shared" ca="1" si="27"/>
        <v>29.409458139144828</v>
      </c>
      <c r="AH41" s="304">
        <f t="shared" ca="1" si="28"/>
        <v>38.889813553315854</v>
      </c>
    </row>
    <row r="42" spans="1:34" x14ac:dyDescent="0.2">
      <c r="A42" s="347">
        <f t="shared" ca="1" si="6"/>
        <v>0.01</v>
      </c>
      <c r="B42" s="304">
        <f t="shared" ca="1" si="7"/>
        <v>4.9799999999999915</v>
      </c>
      <c r="D42" s="306">
        <f t="shared" ca="1" si="8"/>
        <v>9.9134422950945194</v>
      </c>
      <c r="E42" s="307">
        <f t="shared" ca="1" si="9"/>
        <v>27.436918968471439</v>
      </c>
      <c r="F42" s="304">
        <f t="shared" ca="1" si="10"/>
        <v>29.172947410582921</v>
      </c>
      <c r="G42" s="306">
        <f t="shared" ca="1" si="11"/>
        <v>42.769749304121426</v>
      </c>
      <c r="H42" s="307">
        <f t="shared" ca="1" si="12"/>
        <v>160.59697838066853</v>
      </c>
      <c r="I42" s="304">
        <f t="shared" ca="1" si="13"/>
        <v>166.19458751878267</v>
      </c>
      <c r="J42" s="306">
        <f t="shared" ca="1" si="14"/>
        <v>146.61863087390742</v>
      </c>
      <c r="K42" s="307">
        <f t="shared" ca="1" si="15"/>
        <v>623.71021827197364</v>
      </c>
      <c r="L42" s="304">
        <f t="shared" ca="1" si="0"/>
        <v>640.71168187899627</v>
      </c>
      <c r="M42" s="306">
        <f t="shared" ca="1" si="16"/>
        <v>1.3105201609956225</v>
      </c>
      <c r="N42" s="304">
        <f t="shared" ca="1" si="17"/>
        <v>75.087274191854334</v>
      </c>
      <c r="P42" s="310">
        <f t="shared" ca="1" si="18"/>
        <v>3</v>
      </c>
      <c r="Q42" s="304">
        <f t="shared" ca="1" si="19"/>
        <v>181.12068965517309</v>
      </c>
      <c r="R42" s="306">
        <f t="shared" ca="1" si="20"/>
        <v>9.6129767887749823E-2</v>
      </c>
      <c r="S42" s="307">
        <f t="shared" ca="1" si="21"/>
        <v>3.0158807396217644</v>
      </c>
      <c r="T42" s="304">
        <f t="shared" ca="1" si="1"/>
        <v>29.585790055689511</v>
      </c>
      <c r="U42" s="311">
        <f t="shared" ca="1" si="2"/>
        <v>0</v>
      </c>
      <c r="V42" s="306">
        <f t="shared" ca="1" si="3"/>
        <v>1.1509061527439182</v>
      </c>
      <c r="W42" s="304">
        <f t="shared" ca="1" si="4"/>
        <v>65.09483539454726</v>
      </c>
      <c r="Y42" s="314" t="str">
        <f t="shared" ca="1" si="22"/>
        <v/>
      </c>
      <c r="Z42" s="315" t="str">
        <f t="shared" ca="1" si="23"/>
        <v/>
      </c>
      <c r="AA42" s="316" t="str">
        <f t="shared" ca="1" si="24"/>
        <v/>
      </c>
      <c r="AC42" s="310" t="e">
        <f t="shared" ca="1" si="25"/>
        <v>#N/A</v>
      </c>
      <c r="AD42" s="323" t="e">
        <f t="shared" ca="1" si="26"/>
        <v>#N/A</v>
      </c>
      <c r="AE42" s="324">
        <f t="shared" ca="1" si="5"/>
        <v>623.71021827197364</v>
      </c>
      <c r="AG42" s="306">
        <f t="shared" ca="1" si="27"/>
        <v>29.063630708954335</v>
      </c>
      <c r="AH42" s="304">
        <f t="shared" ca="1" si="28"/>
        <v>38.543602721879104</v>
      </c>
    </row>
    <row r="43" spans="1:34" x14ac:dyDescent="0.2">
      <c r="A43" s="347">
        <f t="shared" ca="1" si="6"/>
        <v>0.01</v>
      </c>
      <c r="B43" s="304">
        <f t="shared" ca="1" si="7"/>
        <v>4.9899999999999913</v>
      </c>
      <c r="D43" s="306">
        <f t="shared" ca="1" si="8"/>
        <v>9.8301328780187163</v>
      </c>
      <c r="E43" s="307">
        <f t="shared" ca="1" si="9"/>
        <v>27.101360552168195</v>
      </c>
      <c r="F43" s="304">
        <f t="shared" ca="1" si="10"/>
        <v>28.829069637747988</v>
      </c>
      <c r="G43" s="306">
        <f t="shared" ca="1" si="11"/>
        <v>42.868050632901614</v>
      </c>
      <c r="H43" s="307">
        <f t="shared" ca="1" si="12"/>
        <v>160.86799198619022</v>
      </c>
      <c r="I43" s="304">
        <f t="shared" ca="1" si="13"/>
        <v>166.48177260809658</v>
      </c>
      <c r="J43" s="306">
        <f t="shared" ca="1" si="14"/>
        <v>147.04681987359254</v>
      </c>
      <c r="K43" s="307">
        <f t="shared" ca="1" si="15"/>
        <v>625.31754312380792</v>
      </c>
      <c r="L43" s="304">
        <f t="shared" ca="1" si="0"/>
        <v>642.37434333364536</v>
      </c>
      <c r="M43" s="306">
        <f t="shared" ca="1" si="16"/>
        <v>1.3103685180728775</v>
      </c>
      <c r="N43" s="304">
        <f t="shared" ca="1" si="17"/>
        <v>75.078585692388017</v>
      </c>
      <c r="P43" s="310">
        <f t="shared" ca="1" si="18"/>
        <v>3</v>
      </c>
      <c r="Q43" s="304">
        <f t="shared" ca="1" si="19"/>
        <v>180.25862068965588</v>
      </c>
      <c r="R43" s="306">
        <f t="shared" ca="1" si="20"/>
        <v>9.567222496586622E-2</v>
      </c>
      <c r="S43" s="307">
        <f t="shared" ca="1" si="21"/>
        <v>3.0149240173721057</v>
      </c>
      <c r="T43" s="304">
        <f t="shared" ca="1" si="1"/>
        <v>29.576404610420358</v>
      </c>
      <c r="U43" s="311">
        <f t="shared" ca="1" si="2"/>
        <v>0</v>
      </c>
      <c r="V43" s="306">
        <f t="shared" ca="1" si="3"/>
        <v>1.1507209990852196</v>
      </c>
      <c r="W43" s="304">
        <f t="shared" ca="1" si="4"/>
        <v>65.309489731301781</v>
      </c>
      <c r="Y43" s="314" t="str">
        <f t="shared" ca="1" si="22"/>
        <v/>
      </c>
      <c r="Z43" s="315" t="str">
        <f t="shared" ca="1" si="23"/>
        <v/>
      </c>
      <c r="AA43" s="316" t="str">
        <f t="shared" ca="1" si="24"/>
        <v/>
      </c>
      <c r="AC43" s="310" t="e">
        <f t="shared" ca="1" si="25"/>
        <v>#N/A</v>
      </c>
      <c r="AD43" s="323" t="e">
        <f t="shared" ca="1" si="26"/>
        <v>#N/A</v>
      </c>
      <c r="AE43" s="324">
        <f t="shared" ca="1" si="5"/>
        <v>625.31754312380792</v>
      </c>
      <c r="AG43" s="306">
        <f t="shared" ca="1" si="27"/>
        <v>28.718317514178466</v>
      </c>
      <c r="AH43" s="304">
        <f t="shared" ca="1" si="28"/>
        <v>38.197906359009565</v>
      </c>
    </row>
    <row r="44" spans="1:34" x14ac:dyDescent="0.2">
      <c r="A44" s="347">
        <f t="shared" ca="1" si="6"/>
        <v>0.01</v>
      </c>
      <c r="B44" s="304">
        <f t="shared" ca="1" si="7"/>
        <v>4.9999999999999911</v>
      </c>
      <c r="D44" s="306">
        <f t="shared" ca="1" si="8"/>
        <v>9.7468491605936816</v>
      </c>
      <c r="E44" s="307">
        <f t="shared" ca="1" si="9"/>
        <v>26.766332012017564</v>
      </c>
      <c r="F44" s="304">
        <f t="shared" ca="1" si="10"/>
        <v>28.485743766609325</v>
      </c>
      <c r="G44" s="306">
        <f t="shared" ca="1" si="11"/>
        <v>42.965519124507551</v>
      </c>
      <c r="H44" s="307">
        <f t="shared" ca="1" si="12"/>
        <v>161.13565530631038</v>
      </c>
      <c r="I44" s="304">
        <f t="shared" ca="1" si="13"/>
        <v>166.76550975736109</v>
      </c>
      <c r="J44" s="306">
        <f t="shared" ca="1" si="14"/>
        <v>147.47598772237959</v>
      </c>
      <c r="K44" s="307">
        <f t="shared" ca="1" si="15"/>
        <v>626.92756136027037</v>
      </c>
      <c r="L44" s="304">
        <f t="shared" ca="1" si="0"/>
        <v>644.0398544716212</v>
      </c>
      <c r="M44" s="306">
        <f t="shared" ca="1" si="16"/>
        <v>1.3102170469596124</v>
      </c>
      <c r="N44" s="304">
        <f t="shared" ca="1" si="17"/>
        <v>75.069907036879783</v>
      </c>
      <c r="P44" s="310">
        <f t="shared" ca="1" si="18"/>
        <v>3</v>
      </c>
      <c r="Q44" s="304">
        <f t="shared" ca="1" si="19"/>
        <v>179.39655172413865</v>
      </c>
      <c r="R44" s="306">
        <f t="shared" ca="1" si="20"/>
        <v>9.521468204398259E-2</v>
      </c>
      <c r="S44" s="307">
        <f t="shared" ca="1" si="21"/>
        <v>3.013971870551666</v>
      </c>
      <c r="T44" s="304">
        <f t="shared" ca="1" si="1"/>
        <v>29.567064050111846</v>
      </c>
      <c r="U44" s="311">
        <f t="shared" ca="1" si="2"/>
        <v>0</v>
      </c>
      <c r="V44" s="306">
        <f t="shared" ca="1" si="3"/>
        <v>1.150535564093901</v>
      </c>
      <c r="W44" s="304">
        <f t="shared" ca="1" si="4"/>
        <v>65.521734819165104</v>
      </c>
      <c r="Y44" s="314" t="str">
        <f t="shared" ca="1" si="22"/>
        <v/>
      </c>
      <c r="Z44" s="315" t="str">
        <f t="shared" ca="1" si="23"/>
        <v/>
      </c>
      <c r="AA44" s="316" t="str">
        <f t="shared" ca="1" si="24"/>
        <v/>
      </c>
      <c r="AC44" s="310">
        <f t="shared" ca="1" si="25"/>
        <v>4.9999999999999911</v>
      </c>
      <c r="AD44" s="323">
        <f t="shared" ca="1" si="26"/>
        <v>147.47598772237959</v>
      </c>
      <c r="AE44" s="324">
        <f t="shared" ca="1" si="5"/>
        <v>626.92756136027037</v>
      </c>
      <c r="AG44" s="306">
        <f t="shared" ca="1" si="27"/>
        <v>28.373523617244352</v>
      </c>
      <c r="AH44" s="304">
        <f t="shared" ca="1" si="28"/>
        <v>37.852729518658315</v>
      </c>
    </row>
    <row r="45" spans="1:34" x14ac:dyDescent="0.2">
      <c r="A45" s="347">
        <f t="shared" ca="1" si="6"/>
        <v>0.01</v>
      </c>
      <c r="B45" s="304">
        <f t="shared" ca="1" si="7"/>
        <v>5.0099999999999909</v>
      </c>
      <c r="D45" s="306">
        <f t="shared" ca="1" si="8"/>
        <v>9.6635929664313664</v>
      </c>
      <c r="E45" s="307">
        <f t="shared" ca="1" si="9"/>
        <v>26.431838036379524</v>
      </c>
      <c r="F45" s="304">
        <f t="shared" ca="1" si="10"/>
        <v>28.142975873248748</v>
      </c>
      <c r="G45" s="306">
        <f t="shared" ca="1" si="11"/>
        <v>43.062155054171868</v>
      </c>
      <c r="H45" s="307">
        <f t="shared" ca="1" si="12"/>
        <v>161.39997368667417</v>
      </c>
      <c r="I45" s="304">
        <f t="shared" ca="1" si="13"/>
        <v>167.04580420941036</v>
      </c>
      <c r="J45" s="306">
        <f t="shared" ca="1" si="14"/>
        <v>147.90612609327297</v>
      </c>
      <c r="K45" s="307">
        <f t="shared" ca="1" si="15"/>
        <v>628.54023950523526</v>
      </c>
      <c r="L45" s="304">
        <f t="shared" ca="1" si="0"/>
        <v>645.70818084736823</v>
      </c>
      <c r="M45" s="306">
        <f t="shared" ca="1" si="16"/>
        <v>1.3100657440549659</v>
      </c>
      <c r="N45" s="304">
        <f t="shared" ca="1" si="17"/>
        <v>75.061238019015462</v>
      </c>
      <c r="P45" s="310">
        <f t="shared" ca="1" si="18"/>
        <v>3</v>
      </c>
      <c r="Q45" s="304">
        <f t="shared" ca="1" si="19"/>
        <v>178.53448275862144</v>
      </c>
      <c r="R45" s="306">
        <f t="shared" ca="1" si="20"/>
        <v>9.4757139122098988E-2</v>
      </c>
      <c r="S45" s="307">
        <f t="shared" ca="1" si="21"/>
        <v>3.013024299160445</v>
      </c>
      <c r="T45" s="304">
        <f t="shared" ca="1" si="1"/>
        <v>29.557768374763967</v>
      </c>
      <c r="U45" s="311">
        <f t="shared" ca="1" si="2"/>
        <v>0</v>
      </c>
      <c r="V45" s="306">
        <f t="shared" ca="1" si="3"/>
        <v>1.1503498517632014</v>
      </c>
      <c r="W45" s="304">
        <f t="shared" ca="1" si="4"/>
        <v>65.73156214402178</v>
      </c>
      <c r="Y45" s="314" t="str">
        <f t="shared" ca="1" si="22"/>
        <v/>
      </c>
      <c r="Z45" s="315" t="str">
        <f t="shared" ca="1" si="23"/>
        <v/>
      </c>
      <c r="AA45" s="316" t="str">
        <f t="shared" ca="1" si="24"/>
        <v/>
      </c>
      <c r="AC45" s="310" t="e">
        <f t="shared" ca="1" si="25"/>
        <v>#N/A</v>
      </c>
      <c r="AD45" s="323" t="e">
        <f t="shared" ca="1" si="26"/>
        <v>#N/A</v>
      </c>
      <c r="AE45" s="324">
        <f t="shared" ca="1" si="5"/>
        <v>628.54023950523526</v>
      </c>
      <c r="AG45" s="306">
        <f t="shared" ca="1" si="27"/>
        <v>28.02925399954659</v>
      </c>
      <c r="AH45" s="304">
        <f t="shared" ca="1" si="28"/>
        <v>37.508077173803883</v>
      </c>
    </row>
    <row r="46" spans="1:34" x14ac:dyDescent="0.2">
      <c r="A46" s="347">
        <f t="shared" ca="1" si="6"/>
        <v>0.01</v>
      </c>
      <c r="B46" s="304">
        <f t="shared" ca="1" si="7"/>
        <v>5.0199999999999907</v>
      </c>
      <c r="D46" s="306">
        <f t="shared" ca="1" si="8"/>
        <v>9.5803660946789631</v>
      </c>
      <c r="E46" s="307">
        <f t="shared" ca="1" si="9"/>
        <v>26.097883236328798</v>
      </c>
      <c r="F46" s="304">
        <f t="shared" ca="1" si="10"/>
        <v>27.800772002322631</v>
      </c>
      <c r="G46" s="306">
        <f t="shared" ca="1" si="11"/>
        <v>43.15795871511866</v>
      </c>
      <c r="H46" s="307">
        <f t="shared" ca="1" si="12"/>
        <v>161.66095251903747</v>
      </c>
      <c r="I46" s="304">
        <f t="shared" ca="1" si="13"/>
        <v>167.32266125608442</v>
      </c>
      <c r="J46" s="306">
        <f t="shared" ca="1" si="14"/>
        <v>148.33722666211943</v>
      </c>
      <c r="K46" s="307">
        <f t="shared" ca="1" si="15"/>
        <v>630.15554413626387</v>
      </c>
      <c r="L46" s="304">
        <f t="shared" ca="1" si="0"/>
        <v>647.37928806803814</v>
      </c>
      <c r="M46" s="306">
        <f t="shared" ca="1" si="16"/>
        <v>1.3099146057892863</v>
      </c>
      <c r="N46" s="304">
        <f t="shared" ca="1" si="17"/>
        <v>75.052578434269094</v>
      </c>
      <c r="P46" s="310">
        <f t="shared" ca="1" si="18"/>
        <v>3</v>
      </c>
      <c r="Q46" s="304">
        <f t="shared" ca="1" si="19"/>
        <v>177.6724137931042</v>
      </c>
      <c r="R46" s="306">
        <f t="shared" ca="1" si="20"/>
        <v>9.4299596200215358E-2</v>
      </c>
      <c r="S46" s="307">
        <f t="shared" ca="1" si="21"/>
        <v>3.012081303198443</v>
      </c>
      <c r="T46" s="304">
        <f t="shared" ca="1" si="1"/>
        <v>29.548517584376729</v>
      </c>
      <c r="U46" s="311">
        <f t="shared" ca="1" si="2"/>
        <v>0</v>
      </c>
      <c r="V46" s="306">
        <f t="shared" ca="1" si="3"/>
        <v>1.150163866077943</v>
      </c>
      <c r="W46" s="304">
        <f t="shared" ca="1" si="4"/>
        <v>65.9389634379515</v>
      </c>
      <c r="Y46" s="314" t="str">
        <f t="shared" ca="1" si="22"/>
        <v/>
      </c>
      <c r="Z46" s="315" t="str">
        <f t="shared" ca="1" si="23"/>
        <v/>
      </c>
      <c r="AA46" s="316" t="str">
        <f t="shared" ca="1" si="24"/>
        <v/>
      </c>
      <c r="AC46" s="310" t="e">
        <f t="shared" ca="1" si="25"/>
        <v>#N/A</v>
      </c>
      <c r="AD46" s="323" t="e">
        <f t="shared" ca="1" si="26"/>
        <v>#N/A</v>
      </c>
      <c r="AE46" s="324">
        <f t="shared" ca="1" si="5"/>
        <v>630.15554413626387</v>
      </c>
      <c r="AG46" s="306">
        <f t="shared" ca="1" si="27"/>
        <v>27.685513561708653</v>
      </c>
      <c r="AH46" s="304">
        <f t="shared" ca="1" si="28"/>
        <v>37.163954216712419</v>
      </c>
    </row>
    <row r="47" spans="1:34" x14ac:dyDescent="0.2">
      <c r="A47" s="347">
        <f t="shared" ca="1" si="6"/>
        <v>0.01</v>
      </c>
      <c r="B47" s="304">
        <f t="shared" ca="1" si="7"/>
        <v>5.0299999999999905</v>
      </c>
      <c r="D47" s="306">
        <f t="shared" ca="1" si="8"/>
        <v>9.4971703201152149</v>
      </c>
      <c r="E47" s="307">
        <f t="shared" ca="1" si="9"/>
        <v>25.764472145910823</v>
      </c>
      <c r="F47" s="304">
        <f t="shared" ca="1" si="10"/>
        <v>27.459138170137315</v>
      </c>
      <c r="G47" s="306">
        <f t="shared" ca="1" si="11"/>
        <v>43.252930418319814</v>
      </c>
      <c r="H47" s="307">
        <f t="shared" ca="1" si="12"/>
        <v>161.91859724049658</v>
      </c>
      <c r="I47" s="304">
        <f t="shared" ca="1" si="13"/>
        <v>167.59608623742429</v>
      </c>
      <c r="J47" s="306">
        <f t="shared" ca="1" si="14"/>
        <v>148.76928110778664</v>
      </c>
      <c r="K47" s="307">
        <f t="shared" ca="1" si="15"/>
        <v>631.77344188506152</v>
      </c>
      <c r="L47" s="304">
        <f t="shared" ca="1" si="0"/>
        <v>649.05314179397112</v>
      </c>
      <c r="M47" s="306">
        <f t="shared" ca="1" si="16"/>
        <v>1.3097636286235241</v>
      </c>
      <c r="N47" s="304">
        <f t="shared" ca="1" si="17"/>
        <v>75.043928079868081</v>
      </c>
      <c r="P47" s="310">
        <f t="shared" ca="1" si="18"/>
        <v>3</v>
      </c>
      <c r="Q47" s="304">
        <f t="shared" ca="1" si="19"/>
        <v>176.81034482758699</v>
      </c>
      <c r="R47" s="306">
        <f t="shared" ca="1" si="20"/>
        <v>9.3842053278331755E-2</v>
      </c>
      <c r="S47" s="307">
        <f t="shared" ca="1" si="21"/>
        <v>3.0111428826656597</v>
      </c>
      <c r="T47" s="304">
        <f t="shared" ca="1" si="1"/>
        <v>29.539311678950124</v>
      </c>
      <c r="U47" s="311">
        <f t="shared" ca="1" si="2"/>
        <v>0</v>
      </c>
      <c r="V47" s="306">
        <f t="shared" ca="1" si="3"/>
        <v>1.1499776110144713</v>
      </c>
      <c r="W47" s="304">
        <f t="shared" ca="1" si="4"/>
        <v>66.143930677801379</v>
      </c>
      <c r="Y47" s="314" t="str">
        <f t="shared" ca="1" si="22"/>
        <v/>
      </c>
      <c r="Z47" s="315" t="str">
        <f t="shared" ca="1" si="23"/>
        <v/>
      </c>
      <c r="AA47" s="316" t="str">
        <f t="shared" ca="1" si="24"/>
        <v/>
      </c>
      <c r="AC47" s="310" t="e">
        <f t="shared" ca="1" si="25"/>
        <v>#N/A</v>
      </c>
      <c r="AD47" s="323" t="e">
        <f t="shared" ca="1" si="26"/>
        <v>#N/A</v>
      </c>
      <c r="AE47" s="324">
        <f t="shared" ca="1" si="5"/>
        <v>631.77344188506152</v>
      </c>
      <c r="AG47" s="306">
        <f t="shared" ca="1" si="27"/>
        <v>27.342307123852137</v>
      </c>
      <c r="AH47" s="304">
        <f t="shared" ca="1" si="28"/>
        <v>36.820365459205618</v>
      </c>
    </row>
    <row r="48" spans="1:34" x14ac:dyDescent="0.2">
      <c r="A48" s="347">
        <f t="shared" ca="1" si="6"/>
        <v>0.01</v>
      </c>
      <c r="B48" s="304">
        <f t="shared" ca="1" si="7"/>
        <v>5.0399999999999903</v>
      </c>
      <c r="D48" s="306">
        <f t="shared" ca="1" si="8"/>
        <v>9.4140073932475197</v>
      </c>
      <c r="E48" s="307">
        <f t="shared" ca="1" si="9"/>
        <v>25.431609222405001</v>
      </c>
      <c r="F48" s="304">
        <f t="shared" ca="1" si="10"/>
        <v>27.118080367924904</v>
      </c>
      <c r="G48" s="306">
        <f t="shared" ca="1" si="11"/>
        <v>43.347070492252286</v>
      </c>
      <c r="H48" s="307">
        <f t="shared" ca="1" si="12"/>
        <v>162.17291333272064</v>
      </c>
      <c r="I48" s="304">
        <f t="shared" ca="1" si="13"/>
        <v>167.86608454086968</v>
      </c>
      <c r="J48" s="306">
        <f t="shared" ca="1" si="14"/>
        <v>149.20228111233951</v>
      </c>
      <c r="K48" s="307">
        <f t="shared" ca="1" si="15"/>
        <v>633.39389943792764</v>
      </c>
      <c r="L48" s="304">
        <f t="shared" ca="1" si="0"/>
        <v>650.7297077391728</v>
      </c>
      <c r="M48" s="306">
        <f t="shared" ca="1" si="16"/>
        <v>1.3096128090486385</v>
      </c>
      <c r="N48" s="304">
        <f t="shared" ca="1" si="17"/>
        <v>75.03528675475917</v>
      </c>
      <c r="P48" s="310">
        <f t="shared" ca="1" si="18"/>
        <v>3</v>
      </c>
      <c r="Q48" s="304">
        <f t="shared" ca="1" si="19"/>
        <v>175.94827586206975</v>
      </c>
      <c r="R48" s="306">
        <f t="shared" ca="1" si="20"/>
        <v>9.3384510356448125E-2</v>
      </c>
      <c r="S48" s="307">
        <f t="shared" ca="1" si="21"/>
        <v>3.0102090375620953</v>
      </c>
      <c r="T48" s="304">
        <f t="shared" ca="1" si="1"/>
        <v>29.530150658484157</v>
      </c>
      <c r="U48" s="311">
        <f t="shared" ca="1" si="2"/>
        <v>0</v>
      </c>
      <c r="V48" s="306">
        <f t="shared" ca="1" si="3"/>
        <v>1.1497910905406019</v>
      </c>
      <c r="W48" s="304">
        <f t="shared" ca="1" si="4"/>
        <v>66.346456083743576</v>
      </c>
      <c r="Y48" s="314" t="str">
        <f t="shared" ca="1" si="22"/>
        <v/>
      </c>
      <c r="Z48" s="315" t="str">
        <f t="shared" ca="1" si="23"/>
        <v/>
      </c>
      <c r="AA48" s="316" t="str">
        <f t="shared" ca="1" si="24"/>
        <v/>
      </c>
      <c r="AC48" s="310" t="e">
        <f t="shared" ca="1" si="25"/>
        <v>#N/A</v>
      </c>
      <c r="AD48" s="323" t="e">
        <f t="shared" ca="1" si="26"/>
        <v>#N/A</v>
      </c>
      <c r="AE48" s="324">
        <f t="shared" ca="1" si="5"/>
        <v>633.39389943792764</v>
      </c>
      <c r="AG48" s="306">
        <f t="shared" ca="1" si="27"/>
        <v>26.999639425873028</v>
      </c>
      <c r="AH48" s="304">
        <f t="shared" ca="1" si="28"/>
        <v>36.47731563293577</v>
      </c>
    </row>
    <row r="49" spans="1:34" x14ac:dyDescent="0.2">
      <c r="A49" s="347">
        <f t="shared" ca="1" si="6"/>
        <v>0.01</v>
      </c>
      <c r="B49" s="304">
        <f t="shared" ca="1" si="7"/>
        <v>5.0499999999999901</v>
      </c>
      <c r="D49" s="306">
        <f t="shared" ca="1" si="8"/>
        <v>9.3308790404097337</v>
      </c>
      <c r="E49" s="307">
        <f t="shared" ca="1" si="9"/>
        <v>25.099298846595289</v>
      </c>
      <c r="F49" s="304">
        <f t="shared" ca="1" si="10"/>
        <v>26.777604565335139</v>
      </c>
      <c r="G49" s="306">
        <f t="shared" ca="1" si="11"/>
        <v>43.44037928265638</v>
      </c>
      <c r="H49" s="307">
        <f t="shared" ca="1" si="12"/>
        <v>162.42390632118659</v>
      </c>
      <c r="I49" s="304">
        <f t="shared" ca="1" si="13"/>
        <v>168.13266160045953</v>
      </c>
      <c r="J49" s="306">
        <f t="shared" ca="1" si="14"/>
        <v>149.63621836121405</v>
      </c>
      <c r="K49" s="307">
        <f t="shared" ca="1" si="15"/>
        <v>635.01688353619716</v>
      </c>
      <c r="L49" s="304">
        <f t="shared" ca="1" si="0"/>
        <v>652.4089516717786</v>
      </c>
      <c r="M49" s="306">
        <f t="shared" ca="1" si="16"/>
        <v>1.3094621435850107</v>
      </c>
      <c r="N49" s="304">
        <f t="shared" ca="1" si="17"/>
        <v>75.026654259574912</v>
      </c>
      <c r="P49" s="310">
        <f t="shared" ca="1" si="18"/>
        <v>3</v>
      </c>
      <c r="Q49" s="304">
        <f t="shared" ca="1" si="19"/>
        <v>175.08620689655254</v>
      </c>
      <c r="R49" s="306">
        <f t="shared" ca="1" si="20"/>
        <v>9.2926967434564522E-2</v>
      </c>
      <c r="S49" s="307">
        <f t="shared" ca="1" si="21"/>
        <v>3.0092797678877496</v>
      </c>
      <c r="T49" s="304">
        <f t="shared" ca="1" si="1"/>
        <v>29.521034522978827</v>
      </c>
      <c r="U49" s="311">
        <f t="shared" ca="1" si="2"/>
        <v>0</v>
      </c>
      <c r="V49" s="306">
        <f t="shared" ca="1" si="3"/>
        <v>1.1496043086155658</v>
      </c>
      <c r="W49" s="304">
        <f t="shared" ca="1" si="4"/>
        <v>66.546532117818884</v>
      </c>
      <c r="Y49" s="314" t="str">
        <f t="shared" ca="1" si="22"/>
        <v/>
      </c>
      <c r="Z49" s="315" t="str">
        <f t="shared" ca="1" si="23"/>
        <v/>
      </c>
      <c r="AA49" s="316" t="str">
        <f t="shared" ca="1" si="24"/>
        <v/>
      </c>
      <c r="AC49" s="310" t="e">
        <f t="shared" ca="1" si="25"/>
        <v>#N/A</v>
      </c>
      <c r="AD49" s="323" t="e">
        <f t="shared" ca="1" si="26"/>
        <v>#N/A</v>
      </c>
      <c r="AE49" s="324">
        <f t="shared" ca="1" si="5"/>
        <v>635.01688353619716</v>
      </c>
      <c r="AG49" s="306">
        <f t="shared" ca="1" si="27"/>
        <v>26.657515127725453</v>
      </c>
      <c r="AH49" s="304">
        <f t="shared" ca="1" si="28"/>
        <v>36.134809389668256</v>
      </c>
    </row>
    <row r="50" spans="1:34" x14ac:dyDescent="0.2">
      <c r="A50" s="347">
        <f t="shared" ca="1" si="6"/>
        <v>0.01</v>
      </c>
      <c r="B50" s="304">
        <f t="shared" ca="1" si="7"/>
        <v>5.0599999999999898</v>
      </c>
      <c r="D50" s="306">
        <f t="shared" ca="1" si="8"/>
        <v>9.2477869638608396</v>
      </c>
      <c r="E50" s="307">
        <f t="shared" ca="1" si="9"/>
        <v>24.767545323047493</v>
      </c>
      <c r="F50" s="304">
        <f t="shared" ca="1" si="10"/>
        <v>26.437716714159833</v>
      </c>
      <c r="G50" s="306">
        <f t="shared" ca="1" si="11"/>
        <v>43.532857152294987</v>
      </c>
      <c r="H50" s="307">
        <f t="shared" ca="1" si="12"/>
        <v>162.67158177441706</v>
      </c>
      <c r="I50" s="304">
        <f t="shared" ca="1" si="13"/>
        <v>168.39582289603558</v>
      </c>
      <c r="J50" s="306">
        <f t="shared" ca="1" si="14"/>
        <v>150.07108454338879</v>
      </c>
      <c r="K50" s="307">
        <f t="shared" ca="1" si="15"/>
        <v>636.64236097667515</v>
      </c>
      <c r="L50" s="304">
        <f t="shared" ca="1" si="0"/>
        <v>654.09083941451445</v>
      </c>
      <c r="M50" s="306">
        <f t="shared" ca="1" si="16"/>
        <v>1.3093116287818714</v>
      </c>
      <c r="N50" s="304">
        <f t="shared" ca="1" si="17"/>
        <v>75.018030396600793</v>
      </c>
      <c r="P50" s="310">
        <f t="shared" ca="1" si="18"/>
        <v>3</v>
      </c>
      <c r="Q50" s="304">
        <f t="shared" ca="1" si="19"/>
        <v>174.22413793103533</v>
      </c>
      <c r="R50" s="306">
        <f t="shared" ca="1" si="20"/>
        <v>9.246942451268092E-2</v>
      </c>
      <c r="S50" s="307">
        <f t="shared" ca="1" si="21"/>
        <v>3.008355073642623</v>
      </c>
      <c r="T50" s="304">
        <f t="shared" ca="1" si="1"/>
        <v>29.511963272434134</v>
      </c>
      <c r="U50" s="311">
        <f t="shared" ca="1" si="2"/>
        <v>0</v>
      </c>
      <c r="V50" s="306">
        <f t="shared" ca="1" si="3"/>
        <v>1.149417269189956</v>
      </c>
      <c r="W50" s="304">
        <f t="shared" ca="1" si="4"/>
        <v>66.744151482466449</v>
      </c>
      <c r="Y50" s="314" t="str">
        <f t="shared" ca="1" si="22"/>
        <v/>
      </c>
      <c r="Z50" s="315" t="str">
        <f t="shared" ca="1" si="23"/>
        <v/>
      </c>
      <c r="AA50" s="316" t="str">
        <f t="shared" ca="1" si="24"/>
        <v/>
      </c>
      <c r="AC50" s="310" t="e">
        <f t="shared" ca="1" si="25"/>
        <v>#N/A</v>
      </c>
      <c r="AD50" s="323" t="e">
        <f t="shared" ca="1" si="26"/>
        <v>#N/A</v>
      </c>
      <c r="AE50" s="324">
        <f t="shared" ca="1" si="5"/>
        <v>636.64236097667515</v>
      </c>
      <c r="AG50" s="306">
        <f t="shared" ca="1" si="27"/>
        <v>26.315938809712129</v>
      </c>
      <c r="AH50" s="304">
        <f t="shared" ca="1" si="28"/>
        <v>35.792851301570792</v>
      </c>
    </row>
    <row r="51" spans="1:34" x14ac:dyDescent="0.2">
      <c r="A51" s="347">
        <f t="shared" ca="1" si="6"/>
        <v>0.01</v>
      </c>
      <c r="B51" s="304">
        <f t="shared" ca="1" si="7"/>
        <v>5.0699999999999896</v>
      </c>
      <c r="D51" s="306">
        <f t="shared" ca="1" si="8"/>
        <v>9.1647328418842964</v>
      </c>
      <c r="E51" s="307">
        <f t="shared" ca="1" si="9"/>
        <v>24.436352880393727</v>
      </c>
      <c r="F51" s="304">
        <f t="shared" ca="1" si="10"/>
        <v>26.098422752308988</v>
      </c>
      <c r="G51" s="306">
        <f t="shared" ca="1" si="11"/>
        <v>43.624504480713831</v>
      </c>
      <c r="H51" s="307">
        <f t="shared" ca="1" si="12"/>
        <v>162.91594530322101</v>
      </c>
      <c r="I51" s="304">
        <f t="shared" ca="1" si="13"/>
        <v>168.65557395244878</v>
      </c>
      <c r="J51" s="306">
        <f t="shared" ca="1" si="14"/>
        <v>150.50687135155383</v>
      </c>
      <c r="K51" s="307">
        <f t="shared" ca="1" si="15"/>
        <v>638.27029861206336</v>
      </c>
      <c r="L51" s="304">
        <f t="shared" ca="1" si="0"/>
        <v>655.77533684514674</v>
      </c>
      <c r="M51" s="306">
        <f t="shared" ca="1" si="16"/>
        <v>1.3091612612167371</v>
      </c>
      <c r="N51" s="304">
        <f t="shared" ca="1" si="17"/>
        <v>75.009414969742949</v>
      </c>
      <c r="P51" s="310">
        <f t="shared" ca="1" si="18"/>
        <v>3</v>
      </c>
      <c r="Q51" s="304">
        <f t="shared" ca="1" si="19"/>
        <v>173.36206896551809</v>
      </c>
      <c r="R51" s="306">
        <f t="shared" ca="1" si="20"/>
        <v>9.201188159079729E-2</v>
      </c>
      <c r="S51" s="307">
        <f t="shared" ca="1" si="21"/>
        <v>3.007434954826715</v>
      </c>
      <c r="T51" s="304">
        <f t="shared" ca="1" si="1"/>
        <v>29.502936906850074</v>
      </c>
      <c r="U51" s="311">
        <f t="shared" ca="1" si="2"/>
        <v>0</v>
      </c>
      <c r="V51" s="306">
        <f t="shared" ca="1" si="3"/>
        <v>1.1492299762056746</v>
      </c>
      <c r="W51" s="304">
        <f t="shared" ca="1" si="4"/>
        <v>66.93930711904035</v>
      </c>
      <c r="Y51" s="314" t="str">
        <f t="shared" ca="1" si="22"/>
        <v/>
      </c>
      <c r="Z51" s="315" t="str">
        <f t="shared" ca="1" si="23"/>
        <v/>
      </c>
      <c r="AA51" s="316" t="str">
        <f t="shared" ca="1" si="24"/>
        <v/>
      </c>
      <c r="AC51" s="310" t="e">
        <f t="shared" ca="1" si="25"/>
        <v>#N/A</v>
      </c>
      <c r="AD51" s="323" t="e">
        <f t="shared" ca="1" si="26"/>
        <v>#N/A</v>
      </c>
      <c r="AE51" s="324">
        <f t="shared" ca="1" si="5"/>
        <v>638.27029861206336</v>
      </c>
      <c r="AG51" s="306">
        <f t="shared" ca="1" si="27"/>
        <v>25.974914972781974</v>
      </c>
      <c r="AH51" s="304">
        <f t="shared" ca="1" si="28"/>
        <v>35.45144586150986</v>
      </c>
    </row>
    <row r="52" spans="1:34" x14ac:dyDescent="0.2">
      <c r="A52" s="347">
        <f t="shared" ca="1" si="6"/>
        <v>0.01</v>
      </c>
      <c r="B52" s="304">
        <f t="shared" ca="1" si="7"/>
        <v>5.0799999999999894</v>
      </c>
      <c r="D52" s="306">
        <f t="shared" ca="1" si="8"/>
        <v>9.0817183288881651</v>
      </c>
      <c r="E52" s="307">
        <f t="shared" ca="1" si="9"/>
        <v>24.105725671623574</v>
      </c>
      <c r="F52" s="304">
        <f t="shared" ca="1" si="10"/>
        <v>25.759728608058644</v>
      </c>
      <c r="G52" s="306">
        <f t="shared" ca="1" si="11"/>
        <v>43.715321664002715</v>
      </c>
      <c r="H52" s="307">
        <f t="shared" ca="1" si="12"/>
        <v>163.15700255993724</v>
      </c>
      <c r="I52" s="304">
        <f t="shared" ca="1" si="13"/>
        <v>168.91192033876885</v>
      </c>
      <c r="J52" s="306">
        <f t="shared" ca="1" si="14"/>
        <v>150.94357048227741</v>
      </c>
      <c r="K52" s="307">
        <f t="shared" ca="1" si="15"/>
        <v>639.90066335137919</v>
      </c>
      <c r="L52" s="304">
        <f t="shared" ca="1" si="0"/>
        <v>657.46240989692581</v>
      </c>
      <c r="M52" s="306">
        <f t="shared" ca="1" si="16"/>
        <v>1.3090110374948558</v>
      </c>
      <c r="N52" s="304">
        <f t="shared" ca="1" si="17"/>
        <v>75.000807784496402</v>
      </c>
      <c r="P52" s="310">
        <f t="shared" ca="1" si="18"/>
        <v>3</v>
      </c>
      <c r="Q52" s="304">
        <f t="shared" ca="1" si="19"/>
        <v>172.50000000000085</v>
      </c>
      <c r="R52" s="306">
        <f t="shared" ca="1" si="20"/>
        <v>9.1554338668913673E-2</v>
      </c>
      <c r="S52" s="307">
        <f t="shared" ca="1" si="21"/>
        <v>3.006519411440026</v>
      </c>
      <c r="T52" s="304">
        <f t="shared" ca="1" si="1"/>
        <v>29.493955426226655</v>
      </c>
      <c r="U52" s="311">
        <f t="shared" ca="1" si="2"/>
        <v>0</v>
      </c>
      <c r="V52" s="306">
        <f t="shared" ca="1" si="3"/>
        <v>1.1490424335958838</v>
      </c>
      <c r="W52" s="304">
        <f t="shared" ca="1" si="4"/>
        <v>67.131992206313313</v>
      </c>
      <c r="Y52" s="314" t="str">
        <f t="shared" ca="1" si="22"/>
        <v/>
      </c>
      <c r="Z52" s="315" t="str">
        <f t="shared" ca="1" si="23"/>
        <v/>
      </c>
      <c r="AA52" s="316" t="str">
        <f t="shared" ca="1" si="24"/>
        <v/>
      </c>
      <c r="AC52" s="310" t="e">
        <f t="shared" ca="1" si="25"/>
        <v>#N/A</v>
      </c>
      <c r="AD52" s="323" t="e">
        <f t="shared" ca="1" si="26"/>
        <v>#N/A</v>
      </c>
      <c r="AE52" s="324">
        <f t="shared" ca="1" si="5"/>
        <v>639.90066335137919</v>
      </c>
      <c r="AG52" s="306">
        <f t="shared" ca="1" si="27"/>
        <v>25.634448038834392</v>
      </c>
      <c r="AH52" s="304">
        <f t="shared" ca="1" si="28"/>
        <v>35.110597483353793</v>
      </c>
    </row>
    <row r="53" spans="1:34" x14ac:dyDescent="0.2">
      <c r="A53" s="347">
        <f t="shared" ca="1" si="6"/>
        <v>0.01</v>
      </c>
      <c r="B53" s="304">
        <f t="shared" ca="1" si="7"/>
        <v>5.0899999999999892</v>
      </c>
      <c r="D53" s="306">
        <f t="shared" ca="1" si="8"/>
        <v>8.9987450555060597</v>
      </c>
      <c r="E53" s="307">
        <f t="shared" ca="1" si="9"/>
        <v>23.77566777438166</v>
      </c>
      <c r="F53" s="304">
        <f t="shared" ca="1" si="10"/>
        <v>25.421640204592727</v>
      </c>
      <c r="G53" s="306">
        <f t="shared" ca="1" si="11"/>
        <v>43.805309114557772</v>
      </c>
      <c r="H53" s="307">
        <f t="shared" ca="1" si="12"/>
        <v>163.39475923768106</v>
      </c>
      <c r="I53" s="304">
        <f t="shared" ca="1" si="13"/>
        <v>169.16486766749685</v>
      </c>
      <c r="J53" s="306">
        <f t="shared" ca="1" si="14"/>
        <v>151.38117363617022</v>
      </c>
      <c r="K53" s="307">
        <f t="shared" ca="1" si="15"/>
        <v>641.53342216036731</v>
      </c>
      <c r="L53" s="304">
        <f t="shared" ca="1" si="0"/>
        <v>659.15202455902113</v>
      </c>
      <c r="M53" s="306">
        <f t="shared" ca="1" si="16"/>
        <v>1.3088609542486631</v>
      </c>
      <c r="N53" s="304">
        <f t="shared" ca="1" si="17"/>
        <v>74.992208647913927</v>
      </c>
      <c r="P53" s="310">
        <f t="shared" ca="1" si="18"/>
        <v>3</v>
      </c>
      <c r="Q53" s="304">
        <f t="shared" ca="1" si="19"/>
        <v>171.63793103448364</v>
      </c>
      <c r="R53" s="306">
        <f t="shared" ca="1" si="20"/>
        <v>9.1096795747030057E-2</v>
      </c>
      <c r="S53" s="307">
        <f t="shared" ca="1" si="21"/>
        <v>3.0056084434825556</v>
      </c>
      <c r="T53" s="304">
        <f t="shared" ca="1" si="1"/>
        <v>29.485018830563874</v>
      </c>
      <c r="U53" s="311">
        <f t="shared" ca="1" si="2"/>
        <v>0</v>
      </c>
      <c r="V53" s="306">
        <f t="shared" ca="1" si="3"/>
        <v>1.1488546452849531</v>
      </c>
      <c r="W53" s="304">
        <f t="shared" ca="1" si="4"/>
        <v>67.322200158968002</v>
      </c>
      <c r="Y53" s="314" t="str">
        <f t="shared" ca="1" si="22"/>
        <v/>
      </c>
      <c r="Z53" s="315" t="str">
        <f t="shared" ca="1" si="23"/>
        <v/>
      </c>
      <c r="AA53" s="316" t="str">
        <f t="shared" ca="1" si="24"/>
        <v/>
      </c>
      <c r="AC53" s="310" t="e">
        <f t="shared" ca="1" si="25"/>
        <v>#N/A</v>
      </c>
      <c r="AD53" s="323" t="e">
        <f t="shared" ca="1" si="26"/>
        <v>#N/A</v>
      </c>
      <c r="AE53" s="324">
        <f t="shared" ca="1" si="5"/>
        <v>641.53342216036731</v>
      </c>
      <c r="AG53" s="306">
        <f t="shared" ca="1" si="27"/>
        <v>25.294542351030078</v>
      </c>
      <c r="AH53" s="304">
        <f t="shared" ca="1" si="28"/>
        <v>34.770310502282456</v>
      </c>
    </row>
    <row r="54" spans="1:34" x14ac:dyDescent="0.2">
      <c r="A54" s="347">
        <f t="shared" ca="1" si="6"/>
        <v>0.01</v>
      </c>
      <c r="B54" s="304">
        <f t="shared" ca="1" si="7"/>
        <v>5.099999999999989</v>
      </c>
      <c r="D54" s="306">
        <f t="shared" ca="1" si="8"/>
        <v>8.9158146286987332</v>
      </c>
      <c r="E54" s="307">
        <f t="shared" ca="1" si="9"/>
        <v>23.446183191271857</v>
      </c>
      <c r="F54" s="304">
        <f t="shared" ca="1" si="10"/>
        <v>25.08416346486359</v>
      </c>
      <c r="G54" s="306">
        <f t="shared" ca="1" si="11"/>
        <v>43.894467260844763</v>
      </c>
      <c r="H54" s="307">
        <f t="shared" ca="1" si="12"/>
        <v>163.62922106959377</v>
      </c>
      <c r="I54" s="304">
        <f t="shared" ca="1" si="13"/>
        <v>169.41442159378096</v>
      </c>
      <c r="J54" s="306">
        <f t="shared" ca="1" si="14"/>
        <v>151.81967251804724</v>
      </c>
      <c r="K54" s="307">
        <f t="shared" ca="1" si="15"/>
        <v>643.16854206190374</v>
      </c>
      <c r="L54" s="304">
        <f t="shared" ca="1" si="0"/>
        <v>660.84414687694857</v>
      </c>
      <c r="M54" s="306">
        <f t="shared" ca="1" si="16"/>
        <v>1.3087110081372479</v>
      </c>
      <c r="N54" s="304">
        <f t="shared" ca="1" si="17"/>
        <v>74.983617368575437</v>
      </c>
      <c r="P54" s="310">
        <f t="shared" ca="1" si="18"/>
        <v>3</v>
      </c>
      <c r="Q54" s="304">
        <f t="shared" ca="1" si="19"/>
        <v>170.77586206896643</v>
      </c>
      <c r="R54" s="306">
        <f t="shared" ca="1" si="20"/>
        <v>9.0639252825146455E-2</v>
      </c>
      <c r="S54" s="307">
        <f t="shared" ca="1" si="21"/>
        <v>3.0047020509543043</v>
      </c>
      <c r="T54" s="304">
        <f t="shared" ca="1" si="1"/>
        <v>29.476127119861726</v>
      </c>
      <c r="U54" s="311">
        <f t="shared" ca="1" si="2"/>
        <v>0</v>
      </c>
      <c r="V54" s="306">
        <f t="shared" ca="1" si="3"/>
        <v>1.1486666151884128</v>
      </c>
      <c r="W54" s="304">
        <f t="shared" ca="1" si="4"/>
        <v>67.509924626076455</v>
      </c>
      <c r="Y54" s="314" t="str">
        <f t="shared" ca="1" si="22"/>
        <v/>
      </c>
      <c r="Z54" s="315" t="str">
        <f t="shared" ca="1" si="23"/>
        <v/>
      </c>
      <c r="AA54" s="316" t="str">
        <f t="shared" ca="1" si="24"/>
        <v/>
      </c>
      <c r="AC54" s="310" t="e">
        <f t="shared" ca="1" si="25"/>
        <v>#N/A</v>
      </c>
      <c r="AD54" s="323" t="e">
        <f t="shared" ca="1" si="26"/>
        <v>#N/A</v>
      </c>
      <c r="AE54" s="324">
        <f t="shared" ca="1" si="5"/>
        <v>643.16854206190374</v>
      </c>
      <c r="AG54" s="306">
        <f t="shared" ca="1" si="27"/>
        <v>24.955202174108383</v>
      </c>
      <c r="AH54" s="304">
        <f t="shared" ca="1" si="28"/>
        <v>34.430589175103457</v>
      </c>
    </row>
    <row r="55" spans="1:34" x14ac:dyDescent="0.2">
      <c r="A55" s="347">
        <f t="shared" ca="1" si="6"/>
        <v>0.01</v>
      </c>
      <c r="B55" s="304">
        <f t="shared" ca="1" si="7"/>
        <v>5.1099999999999888</v>
      </c>
      <c r="D55" s="306">
        <f t="shared" ca="1" si="8"/>
        <v>8.8329286318565021</v>
      </c>
      <c r="E55" s="307">
        <f t="shared" ca="1" si="9"/>
        <v>23.117275850167729</v>
      </c>
      <c r="F55" s="304">
        <f t="shared" ca="1" si="10"/>
        <v>24.747304316798193</v>
      </c>
      <c r="G55" s="306">
        <f t="shared" ca="1" si="11"/>
        <v>43.982796547163325</v>
      </c>
      <c r="H55" s="307">
        <f t="shared" ca="1" si="12"/>
        <v>163.86039382809545</v>
      </c>
      <c r="I55" s="304">
        <f t="shared" ca="1" si="13"/>
        <v>169.66058781463568</v>
      </c>
      <c r="J55" s="306">
        <f t="shared" ca="1" si="14"/>
        <v>152.25905883708728</v>
      </c>
      <c r="K55" s="307">
        <f t="shared" ca="1" si="15"/>
        <v>644.80599013639221</v>
      </c>
      <c r="L55" s="304">
        <f t="shared" ca="1" si="0"/>
        <v>662.53874295299045</v>
      </c>
      <c r="M55" s="306">
        <f t="shared" ca="1" si="16"/>
        <v>1.3085611958458276</v>
      </c>
      <c r="N55" s="304">
        <f t="shared" ca="1" si="17"/>
        <v>74.975033756557877</v>
      </c>
      <c r="P55" s="310">
        <f t="shared" ca="1" si="18"/>
        <v>3</v>
      </c>
      <c r="Q55" s="304">
        <f t="shared" ca="1" si="19"/>
        <v>169.91379310344919</v>
      </c>
      <c r="R55" s="306">
        <f t="shared" ca="1" si="20"/>
        <v>9.0181709903262838E-2</v>
      </c>
      <c r="S55" s="307">
        <f t="shared" ca="1" si="21"/>
        <v>3.0038002338552716</v>
      </c>
      <c r="T55" s="304">
        <f t="shared" ca="1" si="1"/>
        <v>29.467280294120215</v>
      </c>
      <c r="U55" s="311">
        <f t="shared" ca="1" si="2"/>
        <v>0</v>
      </c>
      <c r="V55" s="306">
        <f t="shared" ca="1" si="3"/>
        <v>1.1484783472129048</v>
      </c>
      <c r="W55" s="304">
        <f t="shared" ca="1" si="4"/>
        <v>67.695159489567999</v>
      </c>
      <c r="Y55" s="314" t="str">
        <f t="shared" ca="1" si="22"/>
        <v/>
      </c>
      <c r="Z55" s="315" t="str">
        <f t="shared" ca="1" si="23"/>
        <v/>
      </c>
      <c r="AA55" s="316" t="str">
        <f t="shared" ca="1" si="24"/>
        <v/>
      </c>
      <c r="AC55" s="310" t="e">
        <f t="shared" ca="1" si="25"/>
        <v>#N/A</v>
      </c>
      <c r="AD55" s="323" t="e">
        <f t="shared" ca="1" si="26"/>
        <v>#N/A</v>
      </c>
      <c r="AE55" s="324">
        <f t="shared" ca="1" si="5"/>
        <v>644.80599013639221</v>
      </c>
      <c r="AG55" s="306">
        <f t="shared" ca="1" si="27"/>
        <v>24.61643169471099</v>
      </c>
      <c r="AH55" s="304">
        <f t="shared" ca="1" si="28"/>
        <v>34.091437680574714</v>
      </c>
    </row>
    <row r="56" spans="1:34" x14ac:dyDescent="0.2">
      <c r="A56" s="347">
        <f t="shared" ca="1" si="6"/>
        <v>0.01</v>
      </c>
      <c r="B56" s="304">
        <f t="shared" ca="1" si="7"/>
        <v>5.1199999999999886</v>
      </c>
      <c r="D56" s="306">
        <f t="shared" ca="1" si="8"/>
        <v>8.7500886249023324</v>
      </c>
      <c r="E56" s="307">
        <f t="shared" ca="1" si="9"/>
        <v>22.788949604529115</v>
      </c>
      <c r="F56" s="304">
        <f t="shared" ca="1" si="10"/>
        <v>24.411068698879468</v>
      </c>
      <c r="G56" s="306">
        <f t="shared" ca="1" si="11"/>
        <v>44.07029743341235</v>
      </c>
      <c r="H56" s="307">
        <f t="shared" ca="1" si="12"/>
        <v>164.08828332414075</v>
      </c>
      <c r="I56" s="304">
        <f t="shared" ca="1" si="13"/>
        <v>169.90337206816383</v>
      </c>
      <c r="J56" s="306">
        <f t="shared" ca="1" si="14"/>
        <v>152.69932430699015</v>
      </c>
      <c r="K56" s="307">
        <f t="shared" ca="1" si="15"/>
        <v>646.44573352215343</v>
      </c>
      <c r="L56" s="304">
        <f t="shared" ca="1" si="0"/>
        <v>664.23577894660741</v>
      </c>
      <c r="M56" s="306">
        <f t="shared" ca="1" si="16"/>
        <v>1.3084115140852313</v>
      </c>
      <c r="N56" s="304">
        <f t="shared" ca="1" si="17"/>
        <v>74.966457623405617</v>
      </c>
      <c r="P56" s="310">
        <f t="shared" ca="1" si="18"/>
        <v>3</v>
      </c>
      <c r="Q56" s="304">
        <f t="shared" ca="1" si="19"/>
        <v>169.05172413793198</v>
      </c>
      <c r="R56" s="306">
        <f t="shared" ca="1" si="20"/>
        <v>8.9724166981379222E-2</v>
      </c>
      <c r="S56" s="307">
        <f t="shared" ca="1" si="21"/>
        <v>3.002902992185458</v>
      </c>
      <c r="T56" s="304">
        <f t="shared" ca="1" si="1"/>
        <v>29.458478353339345</v>
      </c>
      <c r="U56" s="311">
        <f t="shared" ca="1" si="2"/>
        <v>0</v>
      </c>
      <c r="V56" s="306">
        <f t="shared" ca="1" si="3"/>
        <v>1.1482898452561363</v>
      </c>
      <c r="W56" s="304">
        <f t="shared" ca="1" si="4"/>
        <v>67.877898862685996</v>
      </c>
      <c r="Y56" s="314" t="str">
        <f t="shared" ca="1" si="22"/>
        <v/>
      </c>
      <c r="Z56" s="315" t="str">
        <f t="shared" ca="1" si="23"/>
        <v/>
      </c>
      <c r="AA56" s="316" t="str">
        <f t="shared" ca="1" si="24"/>
        <v/>
      </c>
      <c r="AC56" s="310" t="e">
        <f t="shared" ca="1" si="25"/>
        <v>#N/A</v>
      </c>
      <c r="AD56" s="323" t="e">
        <f t="shared" ca="1" si="26"/>
        <v>#N/A</v>
      </c>
      <c r="AE56" s="324">
        <f t="shared" ca="1" si="5"/>
        <v>646.44573352215343</v>
      </c>
      <c r="AG56" s="306">
        <f t="shared" ca="1" si="27"/>
        <v>24.278235021711744</v>
      </c>
      <c r="AH56" s="304">
        <f t="shared" ca="1" si="28"/>
        <v>33.752860119733178</v>
      </c>
    </row>
    <row r="57" spans="1:34" x14ac:dyDescent="0.2">
      <c r="A57" s="347">
        <f t="shared" ca="1" si="6"/>
        <v>0.01</v>
      </c>
      <c r="B57" s="304">
        <f t="shared" ca="1" si="7"/>
        <v>5.1299999999999883</v>
      </c>
      <c r="D57" s="306">
        <f t="shared" ca="1" si="8"/>
        <v>8.6672961443957206</v>
      </c>
      <c r="E57" s="307">
        <f t="shared" ca="1" si="9"/>
        <v>22.461208233724797</v>
      </c>
      <c r="F57" s="304">
        <f t="shared" ca="1" si="10"/>
        <v>24.075462566135744</v>
      </c>
      <c r="G57" s="306">
        <f t="shared" ca="1" si="11"/>
        <v>44.156970394856309</v>
      </c>
      <c r="H57" s="307">
        <f t="shared" ca="1" si="12"/>
        <v>164.31289540647799</v>
      </c>
      <c r="I57" s="304">
        <f t="shared" ca="1" si="13"/>
        <v>170.14278013278258</v>
      </c>
      <c r="J57" s="306">
        <f t="shared" ca="1" si="14"/>
        <v>153.14046064613149</v>
      </c>
      <c r="K57" s="307">
        <f t="shared" ca="1" si="15"/>
        <v>648.08773941580648</v>
      </c>
      <c r="L57" s="304">
        <f t="shared" ca="1" si="0"/>
        <v>665.93522107484273</v>
      </c>
      <c r="M57" s="306">
        <f t="shared" ca="1" si="16"/>
        <v>1.3082619595913929</v>
      </c>
      <c r="N57" s="304">
        <f t="shared" ca="1" si="17"/>
        <v>74.957888782101463</v>
      </c>
      <c r="P57" s="310">
        <f t="shared" ca="1" si="18"/>
        <v>3</v>
      </c>
      <c r="Q57" s="304">
        <f t="shared" ca="1" si="19"/>
        <v>168.18965517241475</v>
      </c>
      <c r="R57" s="306">
        <f t="shared" ca="1" si="20"/>
        <v>8.9266624059495606E-2</v>
      </c>
      <c r="S57" s="307">
        <f t="shared" ca="1" si="21"/>
        <v>3.0020103259448629</v>
      </c>
      <c r="T57" s="304">
        <f t="shared" ca="1" si="1"/>
        <v>29.449721297519108</v>
      </c>
      <c r="U57" s="311">
        <f t="shared" ca="1" si="2"/>
        <v>0</v>
      </c>
      <c r="V57" s="306">
        <f t="shared" ca="1" si="3"/>
        <v>1.1481011132068326</v>
      </c>
      <c r="W57" s="304">
        <f t="shared" ca="1" si="4"/>
        <v>68.058137088433966</v>
      </c>
      <c r="Y57" s="314" t="str">
        <f t="shared" ca="1" si="22"/>
        <v/>
      </c>
      <c r="Z57" s="315" t="str">
        <f t="shared" ca="1" si="23"/>
        <v/>
      </c>
      <c r="AA57" s="316" t="str">
        <f t="shared" ca="1" si="24"/>
        <v/>
      </c>
      <c r="AC57" s="310" t="e">
        <f t="shared" ca="1" si="25"/>
        <v>#N/A</v>
      </c>
      <c r="AD57" s="323" t="e">
        <f t="shared" ca="1" si="26"/>
        <v>#N/A</v>
      </c>
      <c r="AE57" s="324">
        <f t="shared" ca="1" si="5"/>
        <v>648.08773941580648</v>
      </c>
      <c r="AG57" s="306">
        <f t="shared" ca="1" si="27"/>
        <v>23.94061618655256</v>
      </c>
      <c r="AH57" s="304">
        <f t="shared" ca="1" si="28"/>
        <v>33.414860516229666</v>
      </c>
    </row>
    <row r="58" spans="1:34" x14ac:dyDescent="0.2">
      <c r="A58" s="347">
        <f t="shared" ca="1" si="6"/>
        <v>0.01</v>
      </c>
      <c r="B58" s="304">
        <f t="shared" ca="1" si="7"/>
        <v>5.1399999999999881</v>
      </c>
      <c r="D58" s="306">
        <f t="shared" ca="1" si="8"/>
        <v>8.5845527036372165</v>
      </c>
      <c r="E58" s="307">
        <f t="shared" ca="1" si="9"/>
        <v>22.134055443361007</v>
      </c>
      <c r="F58" s="304">
        <f t="shared" ca="1" si="10"/>
        <v>23.740491896574174</v>
      </c>
      <c r="G58" s="306">
        <f t="shared" ca="1" si="11"/>
        <v>44.242815921892678</v>
      </c>
      <c r="H58" s="307">
        <f t="shared" ca="1" si="12"/>
        <v>164.53423596091162</v>
      </c>
      <c r="I58" s="304">
        <f t="shared" ca="1" si="13"/>
        <v>170.37881782645229</v>
      </c>
      <c r="J58" s="306">
        <f t="shared" ca="1" si="14"/>
        <v>153.58245957771524</v>
      </c>
      <c r="K58" s="307">
        <f t="shared" ca="1" si="15"/>
        <v>649.73197507264342</v>
      </c>
      <c r="L58" s="304">
        <f t="shared" ca="1" si="0"/>
        <v>667.63703561271871</v>
      </c>
      <c r="M58" s="306">
        <f t="shared" ca="1" si="16"/>
        <v>1.3081125291248521</v>
      </c>
      <c r="N58" s="304">
        <f t="shared" ca="1" si="17"/>
        <v>74.949327047038011</v>
      </c>
      <c r="P58" s="310">
        <f t="shared" ca="1" si="18"/>
        <v>3</v>
      </c>
      <c r="Q58" s="304">
        <f t="shared" ca="1" si="19"/>
        <v>167.32758620689754</v>
      </c>
      <c r="R58" s="306">
        <f t="shared" ca="1" si="20"/>
        <v>8.8809081137611989E-2</v>
      </c>
      <c r="S58" s="307">
        <f t="shared" ca="1" si="21"/>
        <v>3.001122235133487</v>
      </c>
      <c r="T58" s="304">
        <f t="shared" ca="1" si="1"/>
        <v>29.441009126659509</v>
      </c>
      <c r="U58" s="311">
        <f t="shared" ca="1" si="2"/>
        <v>0</v>
      </c>
      <c r="V58" s="306">
        <f t="shared" ca="1" si="3"/>
        <v>1.1479121549446953</v>
      </c>
      <c r="W58" s="304">
        <f t="shared" ca="1" si="4"/>
        <v>68.23586873801159</v>
      </c>
      <c r="Y58" s="314" t="str">
        <f t="shared" ca="1" si="22"/>
        <v/>
      </c>
      <c r="Z58" s="315" t="str">
        <f t="shared" ca="1" si="23"/>
        <v/>
      </c>
      <c r="AA58" s="316" t="str">
        <f t="shared" ca="1" si="24"/>
        <v/>
      </c>
      <c r="AC58" s="310" t="e">
        <f t="shared" ca="1" si="25"/>
        <v>#N/A</v>
      </c>
      <c r="AD58" s="323" t="e">
        <f t="shared" ca="1" si="26"/>
        <v>#N/A</v>
      </c>
      <c r="AE58" s="324">
        <f t="shared" ca="1" si="5"/>
        <v>649.73197507264342</v>
      </c>
      <c r="AG58" s="306">
        <f t="shared" ca="1" si="27"/>
        <v>23.603579143585229</v>
      </c>
      <c r="AH58" s="304">
        <f t="shared" ca="1" si="28"/>
        <v>33.077442816669596</v>
      </c>
    </row>
    <row r="59" spans="1:34" x14ac:dyDescent="0.2">
      <c r="A59" s="347">
        <f t="shared" ca="1" si="6"/>
        <v>0.01</v>
      </c>
      <c r="B59" s="304">
        <f t="shared" ca="1" si="7"/>
        <v>5.1499999999999879</v>
      </c>
      <c r="D59" s="306">
        <f t="shared" ca="1" si="8"/>
        <v>8.5018597927737343</v>
      </c>
      <c r="E59" s="307">
        <f t="shared" ca="1" si="9"/>
        <v>21.807494865615652</v>
      </c>
      <c r="F59" s="304">
        <f t="shared" ca="1" si="10"/>
        <v>23.406162698098029</v>
      </c>
      <c r="G59" s="306">
        <f t="shared" ca="1" si="11"/>
        <v>44.327834519820414</v>
      </c>
      <c r="H59" s="307">
        <f t="shared" ca="1" si="12"/>
        <v>164.75231090956777</v>
      </c>
      <c r="I59" s="304">
        <f t="shared" ca="1" si="13"/>
        <v>170.61149100590927</v>
      </c>
      <c r="J59" s="306">
        <f t="shared" ca="1" si="14"/>
        <v>154.02531282992382</v>
      </c>
      <c r="K59" s="307">
        <f t="shared" ca="1" si="15"/>
        <v>651.37840780699582</v>
      </c>
      <c r="L59" s="304">
        <f t="shared" ca="1" si="0"/>
        <v>669.34118889362605</v>
      </c>
      <c r="M59" s="306">
        <f t="shared" ca="1" si="16"/>
        <v>1.3079632194702648</v>
      </c>
      <c r="N59" s="304">
        <f t="shared" ca="1" si="17"/>
        <v>74.940772233989591</v>
      </c>
      <c r="P59" s="310">
        <f t="shared" ca="1" si="18"/>
        <v>3</v>
      </c>
      <c r="Q59" s="304">
        <f t="shared" ca="1" si="19"/>
        <v>166.46551724138033</v>
      </c>
      <c r="R59" s="306">
        <f t="shared" ca="1" si="20"/>
        <v>8.8351538215728387E-2</v>
      </c>
      <c r="S59" s="307">
        <f t="shared" ca="1" si="21"/>
        <v>3.0002387197513296</v>
      </c>
      <c r="T59" s="304">
        <f t="shared" ca="1" si="1"/>
        <v>29.432341840760547</v>
      </c>
      <c r="U59" s="311">
        <f t="shared" ca="1" si="2"/>
        <v>0</v>
      </c>
      <c r="V59" s="306">
        <f t="shared" ca="1" si="3"/>
        <v>1.1477229743403552</v>
      </c>
      <c r="W59" s="304">
        <f t="shared" ca="1" si="4"/>
        <v>68.411088609240707</v>
      </c>
      <c r="Y59" s="314" t="str">
        <f t="shared" ca="1" si="22"/>
        <v/>
      </c>
      <c r="Z59" s="315" t="str">
        <f t="shared" ca="1" si="23"/>
        <v/>
      </c>
      <c r="AA59" s="316" t="str">
        <f t="shared" ca="1" si="24"/>
        <v/>
      </c>
      <c r="AC59" s="310" t="e">
        <f t="shared" ca="1" si="25"/>
        <v>#N/A</v>
      </c>
      <c r="AD59" s="323" t="e">
        <f t="shared" ca="1" si="26"/>
        <v>#N/A</v>
      </c>
      <c r="AE59" s="324">
        <f t="shared" ca="1" si="5"/>
        <v>651.37840780699582</v>
      </c>
      <c r="AG59" s="306">
        <f t="shared" ca="1" si="27"/>
        <v>23.267127770418973</v>
      </c>
      <c r="AH59" s="304">
        <f t="shared" ca="1" si="28"/>
        <v>32.740610890959488</v>
      </c>
    </row>
    <row r="60" spans="1:34" x14ac:dyDescent="0.2">
      <c r="A60" s="347">
        <f t="shared" ca="1" si="6"/>
        <v>0.01</v>
      </c>
      <c r="B60" s="304">
        <f t="shared" ca="1" si="7"/>
        <v>5.1599999999999877</v>
      </c>
      <c r="D60" s="306">
        <f t="shared" ca="1" si="8"/>
        <v>8.419218878904454</v>
      </c>
      <c r="E60" s="307">
        <f t="shared" ca="1" si="9"/>
        <v>21.481530059578219</v>
      </c>
      <c r="F60" s="304">
        <f t="shared" ca="1" si="10"/>
        <v>23.072481015951965</v>
      </c>
      <c r="G60" s="306">
        <f t="shared" ca="1" si="11"/>
        <v>44.41202670860946</v>
      </c>
      <c r="H60" s="307">
        <f t="shared" ca="1" si="12"/>
        <v>164.96712621016354</v>
      </c>
      <c r="I60" s="304">
        <f t="shared" ca="1" si="13"/>
        <v>170.8408055659018</v>
      </c>
      <c r="J60" s="306">
        <f t="shared" ca="1" si="14"/>
        <v>154.46901213606597</v>
      </c>
      <c r="K60" s="307">
        <f t="shared" ca="1" si="15"/>
        <v>653.02700499259447</v>
      </c>
      <c r="L60" s="304">
        <f t="shared" ca="1" si="0"/>
        <v>671.04764730970487</v>
      </c>
      <c r="M60" s="306">
        <f t="shared" ca="1" si="16"/>
        <v>1.3078140274359196</v>
      </c>
      <c r="N60" s="304">
        <f t="shared" ca="1" si="17"/>
        <v>74.932224160084644</v>
      </c>
      <c r="P60" s="310">
        <f t="shared" ca="1" si="18"/>
        <v>3</v>
      </c>
      <c r="Q60" s="304">
        <f t="shared" ca="1" si="19"/>
        <v>165.60344827586309</v>
      </c>
      <c r="R60" s="306">
        <f t="shared" ca="1" si="20"/>
        <v>8.7893995293844757E-2</v>
      </c>
      <c r="S60" s="307">
        <f t="shared" ca="1" si="21"/>
        <v>2.9993597797983913</v>
      </c>
      <c r="T60" s="304">
        <f t="shared" ca="1" si="1"/>
        <v>29.423719439822221</v>
      </c>
      <c r="U60" s="311">
        <f t="shared" ca="1" si="2"/>
        <v>0</v>
      </c>
      <c r="V60" s="306">
        <f t="shared" ca="1" si="3"/>
        <v>1.1475335752553322</v>
      </c>
      <c r="W60" s="304">
        <f t="shared" ca="1" si="4"/>
        <v>68.583791724982092</v>
      </c>
      <c r="Y60" s="314" t="str">
        <f t="shared" ca="1" si="22"/>
        <v/>
      </c>
      <c r="Z60" s="315" t="str">
        <f t="shared" ca="1" si="23"/>
        <v/>
      </c>
      <c r="AA60" s="316" t="str">
        <f t="shared" ca="1" si="24"/>
        <v/>
      </c>
      <c r="AC60" s="310" t="e">
        <f t="shared" ca="1" si="25"/>
        <v>#N/A</v>
      </c>
      <c r="AD60" s="323" t="e">
        <f t="shared" ca="1" si="26"/>
        <v>#N/A</v>
      </c>
      <c r="AE60" s="324">
        <f t="shared" ca="1" si="5"/>
        <v>653.02700499259447</v>
      </c>
      <c r="AG60" s="306">
        <f t="shared" ca="1" si="27"/>
        <v>22.931265868273634</v>
      </c>
      <c r="AH60" s="304">
        <f t="shared" ca="1" si="28"/>
        <v>32.40436853265912</v>
      </c>
    </row>
    <row r="61" spans="1:34" x14ac:dyDescent="0.2">
      <c r="A61" s="347">
        <f t="shared" ca="1" si="6"/>
        <v>0.01</v>
      </c>
      <c r="B61" s="304">
        <f t="shared" ca="1" si="7"/>
        <v>5.1699999999999875</v>
      </c>
      <c r="D61" s="306">
        <f t="shared" ca="1" si="8"/>
        <v>8.3366314061875517</v>
      </c>
      <c r="E61" s="307">
        <f t="shared" ca="1" si="9"/>
        <v>21.156164511595087</v>
      </c>
      <c r="F61" s="304">
        <f t="shared" ca="1" si="10"/>
        <v>22.739452940743934</v>
      </c>
      <c r="G61" s="306">
        <f t="shared" ca="1" si="11"/>
        <v>44.495393022671337</v>
      </c>
      <c r="H61" s="307">
        <f t="shared" ca="1" si="12"/>
        <v>165.17868785527949</v>
      </c>
      <c r="I61" s="304">
        <f t="shared" ca="1" si="13"/>
        <v>171.06676743842985</v>
      </c>
      <c r="J61" s="306">
        <f t="shared" ca="1" si="14"/>
        <v>154.91354923472238</v>
      </c>
      <c r="K61" s="307">
        <f t="shared" ca="1" si="15"/>
        <v>654.67773406292167</v>
      </c>
      <c r="L61" s="304">
        <f t="shared" ca="1" si="0"/>
        <v>672.75637731221866</v>
      </c>
      <c r="M61" s="306">
        <f t="shared" ca="1" si="16"/>
        <v>1.3076649498532644</v>
      </c>
      <c r="N61" s="304">
        <f t="shared" ca="1" si="17"/>
        <v>74.923682643778491</v>
      </c>
      <c r="P61" s="310">
        <f t="shared" ca="1" si="18"/>
        <v>3</v>
      </c>
      <c r="Q61" s="304">
        <f t="shared" ca="1" si="19"/>
        <v>164.74137931034588</v>
      </c>
      <c r="R61" s="306">
        <f t="shared" ca="1" si="20"/>
        <v>8.7436452371961154E-2</v>
      </c>
      <c r="S61" s="307">
        <f t="shared" ca="1" si="21"/>
        <v>2.9984854152746716</v>
      </c>
      <c r="T61" s="304">
        <f t="shared" ca="1" si="1"/>
        <v>29.41514192384453</v>
      </c>
      <c r="U61" s="311">
        <f t="shared" ca="1" si="2"/>
        <v>0</v>
      </c>
      <c r="V61" s="306">
        <f t="shared" ca="1" si="3"/>
        <v>1.1473439615419916</v>
      </c>
      <c r="W61" s="304">
        <f t="shared" ca="1" si="4"/>
        <v>68.753973331542994</v>
      </c>
      <c r="Y61" s="314" t="str">
        <f t="shared" ca="1" si="22"/>
        <v/>
      </c>
      <c r="Z61" s="315" t="str">
        <f t="shared" ca="1" si="23"/>
        <v/>
      </c>
      <c r="AA61" s="316" t="str">
        <f t="shared" ca="1" si="24"/>
        <v/>
      </c>
      <c r="AC61" s="310" t="e">
        <f t="shared" ca="1" si="25"/>
        <v>#N/A</v>
      </c>
      <c r="AD61" s="323" t="e">
        <f t="shared" ca="1" si="26"/>
        <v>#N/A</v>
      </c>
      <c r="AE61" s="324">
        <f t="shared" ca="1" si="5"/>
        <v>654.67773406292167</v>
      </c>
      <c r="AG61" s="306">
        <f t="shared" ca="1" si="27"/>
        <v>22.595997162338403</v>
      </c>
      <c r="AH61" s="304">
        <f t="shared" ca="1" si="28"/>
        <v>32.068719459339249</v>
      </c>
    </row>
    <row r="62" spans="1:34" x14ac:dyDescent="0.2">
      <c r="A62" s="347">
        <f t="shared" ca="1" si="6"/>
        <v>0.01</v>
      </c>
      <c r="B62" s="304">
        <f t="shared" ca="1" si="7"/>
        <v>5.1799999999999873</v>
      </c>
      <c r="D62" s="306">
        <f t="shared" ca="1" si="8"/>
        <v>8.2540987959474634</v>
      </c>
      <c r="E62" s="307">
        <f t="shared" ca="1" si="9"/>
        <v>20.831401635620182</v>
      </c>
      <c r="F62" s="304">
        <f t="shared" ca="1" si="10"/>
        <v>22.407084617097794</v>
      </c>
      <c r="G62" s="306">
        <f t="shared" ca="1" si="11"/>
        <v>44.577934010630813</v>
      </c>
      <c r="H62" s="307">
        <f t="shared" ca="1" si="12"/>
        <v>165.3870018716357</v>
      </c>
      <c r="I62" s="304">
        <f t="shared" ca="1" si="13"/>
        <v>171.28938259198841</v>
      </c>
      <c r="J62" s="306">
        <f t="shared" ca="1" si="14"/>
        <v>155.3589158698889</v>
      </c>
      <c r="K62" s="307">
        <f t="shared" ca="1" si="15"/>
        <v>656.3305625115562</v>
      </c>
      <c r="L62" s="304">
        <f t="shared" ca="1" si="0"/>
        <v>674.46734541192063</v>
      </c>
      <c r="M62" s="306">
        <f t="shared" ca="1" si="16"/>
        <v>1.3075159835764403</v>
      </c>
      <c r="N62" s="304">
        <f t="shared" ca="1" si="17"/>
        <v>74.915147504826692</v>
      </c>
      <c r="P62" s="310">
        <f t="shared" ca="1" si="18"/>
        <v>3</v>
      </c>
      <c r="Q62" s="304">
        <f t="shared" ca="1" si="19"/>
        <v>163.87931034482864</v>
      </c>
      <c r="R62" s="306">
        <f t="shared" ca="1" si="20"/>
        <v>8.6978909450077538E-2</v>
      </c>
      <c r="S62" s="307">
        <f t="shared" ca="1" si="21"/>
        <v>2.997615626180171</v>
      </c>
      <c r="T62" s="304">
        <f t="shared" ca="1" si="1"/>
        <v>29.406609292827479</v>
      </c>
      <c r="U62" s="311">
        <f t="shared" ca="1" si="2"/>
        <v>0</v>
      </c>
      <c r="V62" s="306">
        <f t="shared" ca="1" si="3"/>
        <v>1.1471541370435061</v>
      </c>
      <c r="W62" s="304">
        <f t="shared" ca="1" si="4"/>
        <v>68.921628897076459</v>
      </c>
      <c r="Y62" s="314" t="str">
        <f t="shared" ca="1" si="22"/>
        <v/>
      </c>
      <c r="Z62" s="315" t="str">
        <f t="shared" ca="1" si="23"/>
        <v/>
      </c>
      <c r="AA62" s="316" t="str">
        <f t="shared" ca="1" si="24"/>
        <v/>
      </c>
      <c r="AC62" s="310" t="e">
        <f t="shared" ca="1" si="25"/>
        <v>#N/A</v>
      </c>
      <c r="AD62" s="323" t="e">
        <f t="shared" ca="1" si="26"/>
        <v>#N/A</v>
      </c>
      <c r="AE62" s="324">
        <f t="shared" ca="1" si="5"/>
        <v>656.3305625115562</v>
      </c>
      <c r="AG62" s="306">
        <f t="shared" ca="1" si="27"/>
        <v>22.26132530213583</v>
      </c>
      <c r="AH62" s="304">
        <f t="shared" ca="1" si="28"/>
        <v>31.733667312944597</v>
      </c>
    </row>
    <row r="63" spans="1:34" x14ac:dyDescent="0.2">
      <c r="A63" s="347">
        <f t="shared" ca="1" si="6"/>
        <v>0.01</v>
      </c>
      <c r="B63" s="304">
        <f t="shared" ca="1" si="7"/>
        <v>5.1899999999999871</v>
      </c>
      <c r="D63" s="306">
        <f t="shared" ca="1" si="8"/>
        <v>8.1716224467828926</v>
      </c>
      <c r="E63" s="307">
        <f t="shared" ca="1" si="9"/>
        <v>20.507244773570825</v>
      </c>
      <c r="F63" s="304">
        <f t="shared" ca="1" si="10"/>
        <v>22.075382252996526</v>
      </c>
      <c r="G63" s="306">
        <f t="shared" ca="1" si="11"/>
        <v>44.659650235098638</v>
      </c>
      <c r="H63" s="307">
        <f t="shared" ca="1" si="12"/>
        <v>165.59207431937142</v>
      </c>
      <c r="I63" s="304">
        <f t="shared" ca="1" si="13"/>
        <v>171.50865703081456</v>
      </c>
      <c r="J63" s="306">
        <f t="shared" ca="1" si="14"/>
        <v>155.80510379111755</v>
      </c>
      <c r="K63" s="307">
        <f t="shared" ca="1" si="15"/>
        <v>657.98545789251125</v>
      </c>
      <c r="L63" s="304">
        <f t="shared" ca="1" si="0"/>
        <v>676.18051817941239</v>
      </c>
      <c r="M63" s="306">
        <f t="shared" ca="1" si="16"/>
        <v>1.3073671254818218</v>
      </c>
      <c r="N63" s="304">
        <f t="shared" ca="1" si="17"/>
        <v>74.906618564258693</v>
      </c>
      <c r="P63" s="310">
        <f t="shared" ca="1" si="18"/>
        <v>3</v>
      </c>
      <c r="Q63" s="304">
        <f t="shared" ca="1" si="19"/>
        <v>163.01724137931143</v>
      </c>
      <c r="R63" s="306">
        <f t="shared" ca="1" si="20"/>
        <v>8.6521366528193921E-2</v>
      </c>
      <c r="S63" s="307">
        <f t="shared" ca="1" si="21"/>
        <v>2.9967504125148889</v>
      </c>
      <c r="T63" s="304">
        <f t="shared" ca="1" si="1"/>
        <v>29.398121546771062</v>
      </c>
      <c r="U63" s="311">
        <f t="shared" ca="1" si="2"/>
        <v>0</v>
      </c>
      <c r="V63" s="306">
        <f t="shared" ca="1" si="3"/>
        <v>1.1469641055938129</v>
      </c>
      <c r="W63" s="304">
        <f t="shared" ca="1" si="4"/>
        <v>69.086754109972006</v>
      </c>
      <c r="Y63" s="314" t="str">
        <f t="shared" ca="1" si="22"/>
        <v/>
      </c>
      <c r="Z63" s="315" t="str">
        <f t="shared" ca="1" si="23"/>
        <v/>
      </c>
      <c r="AA63" s="316" t="str">
        <f t="shared" ca="1" si="24"/>
        <v/>
      </c>
      <c r="AC63" s="310" t="e">
        <f t="shared" ca="1" si="25"/>
        <v>#N/A</v>
      </c>
      <c r="AD63" s="323" t="e">
        <f t="shared" ca="1" si="26"/>
        <v>#N/A</v>
      </c>
      <c r="AE63" s="324">
        <f t="shared" ca="1" si="5"/>
        <v>657.98545789251125</v>
      </c>
      <c r="AG63" s="306">
        <f t="shared" ca="1" si="27"/>
        <v>21.927253861891142</v>
      </c>
      <c r="AH63" s="304">
        <f t="shared" ca="1" si="28"/>
        <v>31.399215660162177</v>
      </c>
    </row>
    <row r="64" spans="1:34" x14ac:dyDescent="0.2">
      <c r="A64" s="347">
        <f t="shared" ca="1" si="6"/>
        <v>0.01</v>
      </c>
      <c r="B64" s="304">
        <f t="shared" ca="1" si="7"/>
        <v>5.1999999999999869</v>
      </c>
      <c r="D64" s="306">
        <f t="shared" ca="1" si="8"/>
        <v>8.0892037346754559</v>
      </c>
      <c r="E64" s="307">
        <f t="shared" ca="1" si="9"/>
        <v>20.183697195688659</v>
      </c>
      <c r="F64" s="304">
        <f t="shared" ca="1" si="10"/>
        <v>21.744352129882774</v>
      </c>
      <c r="G64" s="306">
        <f t="shared" ca="1" si="11"/>
        <v>44.740542272445396</v>
      </c>
      <c r="H64" s="307">
        <f t="shared" ca="1" si="12"/>
        <v>165.7939112913283</v>
      </c>
      <c r="I64" s="304">
        <f t="shared" ca="1" si="13"/>
        <v>171.72459679413811</v>
      </c>
      <c r="J64" s="306">
        <f t="shared" ca="1" si="14"/>
        <v>156.25210475365526</v>
      </c>
      <c r="K64" s="307">
        <f t="shared" ca="1" si="15"/>
        <v>659.64238782056475</v>
      </c>
      <c r="L64" s="304">
        <f t="shared" ca="1" si="0"/>
        <v>677.89586224549532</v>
      </c>
      <c r="M64" s="306">
        <f t="shared" ca="1" si="16"/>
        <v>1.3072183724675657</v>
      </c>
      <c r="N64" s="304">
        <f t="shared" ca="1" si="17"/>
        <v>74.898095644351969</v>
      </c>
      <c r="P64" s="310">
        <f t="shared" ca="1" si="18"/>
        <v>3</v>
      </c>
      <c r="Q64" s="304">
        <f t="shared" ca="1" si="19"/>
        <v>162.15517241379419</v>
      </c>
      <c r="R64" s="306">
        <f t="shared" ca="1" si="20"/>
        <v>8.6063823606310305E-2</v>
      </c>
      <c r="S64" s="307">
        <f t="shared" ca="1" si="21"/>
        <v>2.995889774278826</v>
      </c>
      <c r="T64" s="304">
        <f t="shared" ca="1" si="1"/>
        <v>29.389678685675285</v>
      </c>
      <c r="U64" s="311">
        <f t="shared" ca="1" si="2"/>
        <v>0</v>
      </c>
      <c r="V64" s="306">
        <f t="shared" ca="1" si="3"/>
        <v>1.1467738710175772</v>
      </c>
      <c r="W64" s="304">
        <f t="shared" ca="1" si="4"/>
        <v>69.249344877238826</v>
      </c>
      <c r="Y64" s="314" t="str">
        <f t="shared" ca="1" si="22"/>
        <v/>
      </c>
      <c r="Z64" s="315" t="str">
        <f t="shared" ca="1" si="23"/>
        <v/>
      </c>
      <c r="AA64" s="316" t="str">
        <f t="shared" ca="1" si="24"/>
        <v/>
      </c>
      <c r="AC64" s="310" t="e">
        <f t="shared" ca="1" si="25"/>
        <v>#N/A</v>
      </c>
      <c r="AD64" s="323" t="e">
        <f t="shared" ca="1" si="26"/>
        <v>#N/A</v>
      </c>
      <c r="AE64" s="324">
        <f t="shared" ca="1" si="5"/>
        <v>659.64238782056475</v>
      </c>
      <c r="AG64" s="306">
        <f t="shared" ca="1" si="27"/>
        <v>21.593786340906526</v>
      </c>
      <c r="AH64" s="304">
        <f t="shared" ca="1" si="28"/>
        <v>31.065367992794634</v>
      </c>
    </row>
    <row r="65" spans="1:34" x14ac:dyDescent="0.2">
      <c r="A65" s="347">
        <f t="shared" ca="1" si="6"/>
        <v>0.01</v>
      </c>
      <c r="B65" s="304">
        <f t="shared" ca="1" si="7"/>
        <v>5.2099999999999866</v>
      </c>
      <c r="D65" s="306">
        <f t="shared" ca="1" si="8"/>
        <v>8.0068440130989682</v>
      </c>
      <c r="E65" s="307">
        <f t="shared" ca="1" si="9"/>
        <v>19.860762100905511</v>
      </c>
      <c r="F65" s="304">
        <f t="shared" ca="1" si="10"/>
        <v>21.414000613590712</v>
      </c>
      <c r="G65" s="306">
        <f t="shared" ca="1" si="11"/>
        <v>44.820610712576382</v>
      </c>
      <c r="H65" s="307">
        <f t="shared" ca="1" si="12"/>
        <v>165.99251891233735</v>
      </c>
      <c r="I65" s="304">
        <f t="shared" ca="1" si="13"/>
        <v>171.93720795543641</v>
      </c>
      <c r="J65" s="306">
        <f t="shared" ca="1" si="14"/>
        <v>156.69991051858037</v>
      </c>
      <c r="K65" s="307">
        <f t="shared" ca="1" si="15"/>
        <v>661.3013199715831</v>
      </c>
      <c r="L65" s="304">
        <f t="shared" ca="1" si="0"/>
        <v>679.61334430151476</v>
      </c>
      <c r="M65" s="306">
        <f t="shared" ca="1" si="16"/>
        <v>1.3070697214531666</v>
      </c>
      <c r="N65" s="304">
        <f t="shared" ca="1" si="17"/>
        <v>74.889578568606566</v>
      </c>
      <c r="P65" s="310">
        <f t="shared" ca="1" si="18"/>
        <v>3</v>
      </c>
      <c r="Q65" s="304">
        <f t="shared" ca="1" si="19"/>
        <v>161.29310344827698</v>
      </c>
      <c r="R65" s="306">
        <f t="shared" ca="1" si="20"/>
        <v>8.5606280684426689E-2</v>
      </c>
      <c r="S65" s="307">
        <f t="shared" ca="1" si="21"/>
        <v>2.9950337114719816</v>
      </c>
      <c r="T65" s="304">
        <f t="shared" ca="1" si="1"/>
        <v>29.381280709540142</v>
      </c>
      <c r="U65" s="311">
        <f t="shared" ca="1" si="2"/>
        <v>0</v>
      </c>
      <c r="V65" s="306">
        <f t="shared" ca="1" si="3"/>
        <v>1.1465834371301544</v>
      </c>
      <c r="W65" s="304">
        <f t="shared" ca="1" si="4"/>
        <v>69.409397322881588</v>
      </c>
      <c r="Y65" s="314" t="str">
        <f t="shared" ca="1" si="22"/>
        <v/>
      </c>
      <c r="Z65" s="315" t="str">
        <f t="shared" ca="1" si="23"/>
        <v/>
      </c>
      <c r="AA65" s="316" t="str">
        <f t="shared" ca="1" si="24"/>
        <v/>
      </c>
      <c r="AC65" s="310" t="e">
        <f t="shared" ca="1" si="25"/>
        <v>#N/A</v>
      </c>
      <c r="AD65" s="323" t="e">
        <f t="shared" ca="1" si="26"/>
        <v>#N/A</v>
      </c>
      <c r="AE65" s="324">
        <f t="shared" ca="1" si="5"/>
        <v>661.3013199715831</v>
      </c>
      <c r="AG65" s="306">
        <f t="shared" ca="1" si="27"/>
        <v>21.260926163940557</v>
      </c>
      <c r="AH65" s="304">
        <f t="shared" ca="1" si="28"/>
        <v>30.732127728138668</v>
      </c>
    </row>
    <row r="66" spans="1:34" x14ac:dyDescent="0.2">
      <c r="A66" s="347">
        <f t="shared" ca="1" si="6"/>
        <v>0.01</v>
      </c>
      <c r="B66" s="304">
        <f t="shared" ca="1" si="7"/>
        <v>5.2199999999999864</v>
      </c>
      <c r="D66" s="306">
        <f t="shared" ca="1" si="8"/>
        <v>7.9245446131293251</v>
      </c>
      <c r="E66" s="307">
        <f t="shared" ca="1" si="9"/>
        <v>19.538442617213896</v>
      </c>
      <c r="F66" s="304">
        <f t="shared" ca="1" si="10"/>
        <v>21.084334166191667</v>
      </c>
      <c r="G66" s="306">
        <f t="shared" ca="1" si="11"/>
        <v>44.899856158707678</v>
      </c>
      <c r="H66" s="307">
        <f t="shared" ca="1" si="12"/>
        <v>166.18790333850947</v>
      </c>
      <c r="I66" s="304">
        <f t="shared" ca="1" si="13"/>
        <v>172.14649662169256</v>
      </c>
      <c r="J66" s="306">
        <f t="shared" ca="1" si="14"/>
        <v>157.14851285293679</v>
      </c>
      <c r="K66" s="307">
        <f t="shared" ca="1" si="15"/>
        <v>662.96222208283734</v>
      </c>
      <c r="L66" s="304">
        <f t="shared" ca="1" si="0"/>
        <v>681.33293109969588</v>
      </c>
      <c r="M66" s="306">
        <f t="shared" ca="1" si="16"/>
        <v>1.3069211693790201</v>
      </c>
      <c r="N66" s="304">
        <f t="shared" ca="1" si="17"/>
        <v>74.881067161720054</v>
      </c>
      <c r="P66" s="310">
        <f t="shared" ca="1" si="18"/>
        <v>3</v>
      </c>
      <c r="Q66" s="304">
        <f t="shared" ca="1" si="19"/>
        <v>160.43103448275974</v>
      </c>
      <c r="R66" s="306">
        <f t="shared" ca="1" si="20"/>
        <v>8.5148737762543072E-2</v>
      </c>
      <c r="S66" s="307">
        <f t="shared" ca="1" si="21"/>
        <v>2.9941822240943563</v>
      </c>
      <c r="T66" s="304">
        <f t="shared" ca="1" si="1"/>
        <v>29.372927618365637</v>
      </c>
      <c r="U66" s="311">
        <f t="shared" ca="1" si="2"/>
        <v>0</v>
      </c>
      <c r="V66" s="306">
        <f t="shared" ca="1" si="3"/>
        <v>1.1463928077375527</v>
      </c>
      <c r="W66" s="304">
        <f t="shared" ca="1" si="4"/>
        <v>69.566907786269084</v>
      </c>
      <c r="Y66" s="314" t="str">
        <f t="shared" ca="1" si="22"/>
        <v/>
      </c>
      <c r="Z66" s="315" t="str">
        <f t="shared" ca="1" si="23"/>
        <v/>
      </c>
      <c r="AA66" s="316" t="str">
        <f t="shared" ca="1" si="24"/>
        <v/>
      </c>
      <c r="AC66" s="310" t="e">
        <f t="shared" ca="1" si="25"/>
        <v>#N/A</v>
      </c>
      <c r="AD66" s="323" t="e">
        <f t="shared" ca="1" si="26"/>
        <v>#N/A</v>
      </c>
      <c r="AE66" s="324">
        <f t="shared" ca="1" si="5"/>
        <v>662.96222208283734</v>
      </c>
      <c r="AG66" s="306">
        <f t="shared" ca="1" si="27"/>
        <v>20.928676681592187</v>
      </c>
      <c r="AH66" s="304">
        <f t="shared" ca="1" si="28"/>
        <v>30.39949820936809</v>
      </c>
    </row>
    <row r="67" spans="1:34" x14ac:dyDescent="0.2">
      <c r="A67" s="347">
        <f t="shared" ca="1" si="6"/>
        <v>0.01</v>
      </c>
      <c r="B67" s="304">
        <f t="shared" ca="1" si="7"/>
        <v>5.2299999999999862</v>
      </c>
      <c r="D67" s="306">
        <f t="shared" ca="1" si="8"/>
        <v>7.7709352032869861</v>
      </c>
      <c r="E67" s="307">
        <f t="shared" ca="1" si="9"/>
        <v>18.952573845422506</v>
      </c>
      <c r="F67" s="304">
        <f t="shared" ca="1" si="10"/>
        <v>20.483834828954226</v>
      </c>
      <c r="G67" s="306">
        <f t="shared" ca="1" si="11"/>
        <v>44.977565510740547</v>
      </c>
      <c r="H67" s="307">
        <f t="shared" ca="1" si="12"/>
        <v>166.37742907696369</v>
      </c>
      <c r="I67" s="304">
        <f t="shared" ca="1" si="13"/>
        <v>172.34973253687701</v>
      </c>
      <c r="J67" s="306">
        <f t="shared" ca="1" si="14"/>
        <v>157.59789996128404</v>
      </c>
      <c r="K67" s="307">
        <f t="shared" ca="1" si="15"/>
        <v>664.62504874491469</v>
      </c>
      <c r="L67" s="304">
        <f t="shared" ca="1" si="0"/>
        <v>683.05457577809045</v>
      </c>
      <c r="M67" s="306">
        <f t="shared" ca="1" si="16"/>
        <v>1.306772710848954</v>
      </c>
      <c r="N67" s="304">
        <f t="shared" ca="1" si="17"/>
        <v>74.872561114514554</v>
      </c>
      <c r="P67" s="310">
        <f t="shared" ca="1" si="18"/>
        <v>4</v>
      </c>
      <c r="Q67" s="304">
        <f t="shared" ca="1" si="19"/>
        <v>158.75000000000333</v>
      </c>
      <c r="R67" s="306">
        <f t="shared" ca="1" si="20"/>
        <v>8.4256529064871175E-2</v>
      </c>
      <c r="S67" s="307">
        <f t="shared" ca="1" si="21"/>
        <v>2.9933396588037078</v>
      </c>
      <c r="T67" s="304">
        <f t="shared" ca="1" si="1"/>
        <v>29.364662052864375</v>
      </c>
      <c r="U67" s="311">
        <f t="shared" ca="1" si="2"/>
        <v>0</v>
      </c>
      <c r="V67" s="306">
        <f t="shared" ca="1" si="3"/>
        <v>1.1462019881520213</v>
      </c>
      <c r="W67" s="304">
        <f t="shared" ca="1" si="4"/>
        <v>69.719659017808681</v>
      </c>
      <c r="Y67" s="314" t="str">
        <f t="shared" ca="1" si="22"/>
        <v/>
      </c>
      <c r="Z67" s="315" t="str">
        <f t="shared" ca="1" si="23"/>
        <v/>
      </c>
      <c r="AA67" s="316" t="str">
        <f t="shared" ca="1" si="24"/>
        <v/>
      </c>
      <c r="AC67" s="310" t="e">
        <f t="shared" ca="1" si="25"/>
        <v>#N/A</v>
      </c>
      <c r="AD67" s="323" t="e">
        <f t="shared" ca="1" si="26"/>
        <v>#N/A</v>
      </c>
      <c r="AE67" s="324">
        <f t="shared" ca="1" si="5"/>
        <v>664.62504874491469</v>
      </c>
      <c r="AG67" s="306">
        <f t="shared" ca="1" si="27"/>
        <v>20.323401589599328</v>
      </c>
      <c r="AH67" s="304">
        <f t="shared" ca="1" si="28"/>
        <v>29.793843124831476</v>
      </c>
    </row>
    <row r="68" spans="1:34" x14ac:dyDescent="0.2">
      <c r="A68" s="347">
        <f t="shared" ca="1" si="6"/>
        <v>0.01</v>
      </c>
      <c r="B68" s="304">
        <f t="shared" ca="1" si="7"/>
        <v>5.239999999999986</v>
      </c>
      <c r="D68" s="306">
        <f t="shared" ca="1" si="8"/>
        <v>7.5460222807651363</v>
      </c>
      <c r="E68" s="307">
        <f t="shared" ca="1" si="9"/>
        <v>18.103644782116582</v>
      </c>
      <c r="F68" s="304">
        <f t="shared" ca="1" si="10"/>
        <v>19.613373158609427</v>
      </c>
      <c r="G68" s="306">
        <f t="shared" ca="1" si="11"/>
        <v>45.053025733548196</v>
      </c>
      <c r="H68" s="307">
        <f t="shared" ca="1" si="12"/>
        <v>166.55846552478485</v>
      </c>
      <c r="I68" s="304">
        <f t="shared" ca="1" si="13"/>
        <v>172.54419018245355</v>
      </c>
      <c r="J68" s="306">
        <f t="shared" ca="1" si="14"/>
        <v>158.04805291750549</v>
      </c>
      <c r="K68" s="307">
        <f t="shared" ca="1" si="15"/>
        <v>666.28972821792343</v>
      </c>
      <c r="L68" s="304">
        <f t="shared" ref="L68:L131" ca="1" si="29">SQRT(pos_x^2+pos_z^2)</f>
        <v>684.77820420901901</v>
      </c>
      <c r="M68" s="306">
        <f t="shared" ca="1" si="16"/>
        <v>1.3066243381490741</v>
      </c>
      <c r="N68" s="304">
        <f t="shared" ca="1" si="17"/>
        <v>74.864059985016468</v>
      </c>
      <c r="P68" s="310">
        <f t="shared" ca="1" si="18"/>
        <v>4</v>
      </c>
      <c r="Q68" s="304">
        <f t="shared" ca="1" si="19"/>
        <v>156.25000000000338</v>
      </c>
      <c r="R68" s="306">
        <f t="shared" ca="1" si="20"/>
        <v>8.2929654591408691E-2</v>
      </c>
      <c r="S68" s="307">
        <f t="shared" ca="1" si="21"/>
        <v>2.9925103622577938</v>
      </c>
      <c r="T68" s="304">
        <f t="shared" ref="T68:T131" ca="1" si="30">m*g</f>
        <v>29.356526653748958</v>
      </c>
      <c r="U68" s="311">
        <f t="shared" ref="U68:U131" ca="1" si="31">IF(pos_xz&lt;L_rampe,Poids*COS(Beta),0)</f>
        <v>0</v>
      </c>
      <c r="V68" s="306">
        <f t="shared" ref="V68:V131" ca="1" si="32">Rho_moyen*(20000-Alt_rampe-pos_z)/(20000+Alt_rampe+pos_z)</f>
        <v>1.1460109867033847</v>
      </c>
      <c r="W68" s="304">
        <f t="shared" ref="W68:W131" ca="1" si="33">1/2*Rho*Sref*Cx*vit_xz^2</f>
        <v>69.865429251311667</v>
      </c>
      <c r="Y68" s="314" t="str">
        <f t="shared" ca="1" si="22"/>
        <v/>
      </c>
      <c r="Z68" s="315" t="str">
        <f t="shared" ca="1" si="23"/>
        <v/>
      </c>
      <c r="AA68" s="316" t="str">
        <f t="shared" ca="1" si="24"/>
        <v/>
      </c>
      <c r="AC68" s="310" t="e">
        <f t="shared" ca="1" si="25"/>
        <v>#N/A</v>
      </c>
      <c r="AD68" s="323" t="e">
        <f t="shared" ca="1" si="26"/>
        <v>#N/A</v>
      </c>
      <c r="AE68" s="324">
        <f t="shared" ref="AE68:AE131" ca="1" si="34">IF(t&lt;T_para, pos_z, NA())</f>
        <v>666.28972821792343</v>
      </c>
      <c r="AG68" s="306">
        <f t="shared" ca="1" si="27"/>
        <v>19.445574634313243</v>
      </c>
      <c r="AH68" s="304">
        <f t="shared" ca="1" si="28"/>
        <v>28.91563620749141</v>
      </c>
    </row>
    <row r="69" spans="1:34" x14ac:dyDescent="0.2">
      <c r="A69" s="347">
        <f t="shared" ref="A69:A132" ca="1" si="35">IF(B68+0.01&lt;=T_ini+ROUNDUP(Temps_fin_propu,0), 0.01, IF(K68&gt;0, 0.1, 0.0001))</f>
        <v>0.01</v>
      </c>
      <c r="B69" s="304">
        <f t="shared" ref="B69:B132" ca="1" si="36">B68+pas</f>
        <v>5.2499999999999858</v>
      </c>
      <c r="D69" s="306">
        <f t="shared" ref="D69:D132" ca="1" si="37">IF(AND(L68&lt;L_rampe,Poussee&lt;Poids*SIN(M68)),0,(-W68+Poussee)/m*COS(M68)-U68/m*SIN(M68))</f>
        <v>7.3213048419183231</v>
      </c>
      <c r="E69" s="307">
        <f t="shared" ref="E69:E132" ca="1" si="38">IF(AND(L68&lt;L_rampe,Poussee&lt;Poids*SIN(M68)),0,(-W68+Poussee)/m*SIN(M68)+U68/m*COS(M68)-Poids/m)</f>
        <v>17.256446265362889</v>
      </c>
      <c r="F69" s="304">
        <f t="shared" ref="F69:F132" ca="1" si="39">SQRT(acc_x^2+acc_z^2)</f>
        <v>18.745304540008238</v>
      </c>
      <c r="G69" s="306">
        <f t="shared" ref="G69:G132" ca="1" si="40">G68+acc_x*pas</f>
        <v>45.12623878196738</v>
      </c>
      <c r="H69" s="307">
        <f t="shared" ref="H69:H132" ca="1" si="41">H68+acc_z*pas</f>
        <v>166.73102998743849</v>
      </c>
      <c r="I69" s="304">
        <f t="shared" ref="I69:I132" ca="1" si="42">SQRT(vit_x^2+vit_z^2)</f>
        <v>172.72988678071681</v>
      </c>
      <c r="J69" s="306">
        <f t="shared" ref="J69:J132" ca="1" si="43">J68+0.5*(vit_x+G68)*pas*(K68&gt;=0)</f>
        <v>158.49894924008308</v>
      </c>
      <c r="K69" s="307">
        <f t="shared" ref="K69:K132" ca="1" si="44">K68+0.5*(vit_z+H68)*pas</f>
        <v>667.95617569548449</v>
      </c>
      <c r="L69" s="304">
        <f t="shared" ca="1" si="29"/>
        <v>686.50372872982086</v>
      </c>
      <c r="M69" s="306">
        <f t="shared" ref="M69:M132" ca="1" si="45">IF(AND(L68&gt;L_rampe,G69&gt;0),ATAN2(G69,H69),$M$4)</f>
        <v>1.3064760436151777</v>
      </c>
      <c r="N69" s="304">
        <f t="shared" ref="N69:N132" ca="1" si="46">DEGREES(Beta)</f>
        <v>74.855563334099344</v>
      </c>
      <c r="P69" s="310">
        <f t="shared" ref="P69:P132" ca="1" si="47">MATCH(t-pas/2-T_ini,CdP_t)</f>
        <v>4</v>
      </c>
      <c r="Q69" s="304">
        <f t="shared" ref="Q69:Q132" ca="1" si="48">(INDEX(CdP,2,i_P+1)-INDEX(CdP,2,i_P+0))/(INDEX(CdP,1,i_P+1)-INDEX(CdP,1,i_P+0))*(t-pas/2-T_ini-INDEX(CdP,1,i_P+0))+INDEX(CdP,2,i_P+0)</f>
        <v>153.75000000000344</v>
      </c>
      <c r="R69" s="306">
        <f t="shared" ref="R69:R132" ca="1" si="49">Poussee/(g*ISP)</f>
        <v>8.1602780117946208E-2</v>
      </c>
      <c r="S69" s="307">
        <f t="shared" ref="S69:S132" ca="1" si="50">S68-Débit*pas</f>
        <v>2.9916943344566143</v>
      </c>
      <c r="T69" s="304">
        <f t="shared" ca="1" si="30"/>
        <v>29.348521421019388</v>
      </c>
      <c r="U69" s="311">
        <f t="shared" ca="1" si="31"/>
        <v>0</v>
      </c>
      <c r="V69" s="306">
        <f t="shared" ca="1" si="32"/>
        <v>1.1458198132150881</v>
      </c>
      <c r="W69" s="304">
        <f t="shared" ca="1" si="33"/>
        <v>70.004212398216225</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667.95617569548449</v>
      </c>
      <c r="AG69" s="306">
        <f t="shared" ref="AG69:AG132" ca="1" si="56">IF(AND(L68&lt;L_rampe,Poussee&lt;Poids*SIN(M68)),0,(-W68+Poussee)/m-Poids*SIN(M68)/m)</f>
        <v>18.569469898857669</v>
      </c>
      <c r="AH69" s="304">
        <f t="shared" ref="AH69:AH132" ca="1" si="57">IF(AND(L68&lt;L_rampe,Poussee&lt;Poids*SIN(M68)), g*SIN(M68), (-W68+Poussee)/m)</f>
        <v>28.039151521115492</v>
      </c>
    </row>
    <row r="70" spans="1:34" x14ac:dyDescent="0.2">
      <c r="A70" s="347">
        <f t="shared" ca="1" si="35"/>
        <v>0.01</v>
      </c>
      <c r="B70" s="304">
        <f t="shared" ca="1" si="36"/>
        <v>5.2599999999999856</v>
      </c>
      <c r="D70" s="306">
        <f t="shared" ca="1" si="37"/>
        <v>7.0967880085957571</v>
      </c>
      <c r="E70" s="307">
        <f t="shared" ca="1" si="38"/>
        <v>16.410992624550524</v>
      </c>
      <c r="F70" s="304">
        <f t="shared" ca="1" si="39"/>
        <v>17.879739342674998</v>
      </c>
      <c r="G70" s="306">
        <f t="shared" ca="1" si="40"/>
        <v>45.19720666205334</v>
      </c>
      <c r="H70" s="307">
        <f t="shared" ca="1" si="41"/>
        <v>166.89513991368401</v>
      </c>
      <c r="I70" s="304">
        <f t="shared" ca="1" si="42"/>
        <v>172.90683970526013</v>
      </c>
      <c r="J70" s="306">
        <f t="shared" ca="1" si="43"/>
        <v>158.95056646730319</v>
      </c>
      <c r="K70" s="307">
        <f t="shared" ca="1" si="44"/>
        <v>669.62430654499008</v>
      </c>
      <c r="L70" s="304">
        <f t="shared" ca="1" si="29"/>
        <v>688.23106185069514</v>
      </c>
      <c r="M70" s="306">
        <f t="shared" ca="1" si="45"/>
        <v>1.3063278196303298</v>
      </c>
      <c r="N70" s="304">
        <f t="shared" ca="1" si="46"/>
        <v>74.847070725344949</v>
      </c>
      <c r="P70" s="310">
        <f t="shared" ca="1" si="47"/>
        <v>4</v>
      </c>
      <c r="Q70" s="304">
        <f t="shared" ca="1" si="48"/>
        <v>151.2500000000035</v>
      </c>
      <c r="R70" s="306">
        <f t="shared" ca="1" si="49"/>
        <v>8.0275905644483739E-2</v>
      </c>
      <c r="S70" s="307">
        <f t="shared" ca="1" si="50"/>
        <v>2.9908915754001693</v>
      </c>
      <c r="T70" s="304">
        <f t="shared" ca="1" si="30"/>
        <v>29.340646354675663</v>
      </c>
      <c r="U70" s="311">
        <f t="shared" ca="1" si="31"/>
        <v>0</v>
      </c>
      <c r="V70" s="306">
        <f t="shared" ca="1" si="32"/>
        <v>1.1456284774844343</v>
      </c>
      <c r="W70" s="304">
        <f t="shared" ca="1" si="33"/>
        <v>70.136003651162568</v>
      </c>
      <c r="Y70" s="314" t="str">
        <f t="shared" ca="1" si="51"/>
        <v/>
      </c>
      <c r="Z70" s="315" t="str">
        <f t="shared" ca="1" si="52"/>
        <v/>
      </c>
      <c r="AA70" s="316" t="str">
        <f t="shared" ca="1" si="53"/>
        <v/>
      </c>
      <c r="AC70" s="310" t="e">
        <f t="shared" ca="1" si="54"/>
        <v>#N/A</v>
      </c>
      <c r="AD70" s="323" t="e">
        <f t="shared" ca="1" si="55"/>
        <v>#N/A</v>
      </c>
      <c r="AE70" s="324">
        <f t="shared" ca="1" si="34"/>
        <v>669.62430654499008</v>
      </c>
      <c r="AG70" s="306">
        <f t="shared" ca="1" si="56"/>
        <v>17.695102513143532</v>
      </c>
      <c r="AH70" s="304">
        <f t="shared" ca="1" si="57"/>
        <v>27.16440417634227</v>
      </c>
    </row>
    <row r="71" spans="1:34" x14ac:dyDescent="0.2">
      <c r="A71" s="347">
        <f t="shared" ca="1" si="35"/>
        <v>0.01</v>
      </c>
      <c r="B71" s="304">
        <f t="shared" ca="1" si="36"/>
        <v>5.2699999999999854</v>
      </c>
      <c r="D71" s="306">
        <f t="shared" ca="1" si="37"/>
        <v>6.806902308583699</v>
      </c>
      <c r="E71" s="307">
        <f t="shared" ca="1" si="38"/>
        <v>15.325157614146326</v>
      </c>
      <c r="F71" s="304">
        <f t="shared" ca="1" si="39"/>
        <v>16.768851330279876</v>
      </c>
      <c r="G71" s="306">
        <f t="shared" ca="1" si="40"/>
        <v>45.26527568513918</v>
      </c>
      <c r="H71" s="307">
        <f t="shared" ca="1" si="41"/>
        <v>167.04839148982546</v>
      </c>
      <c r="I71" s="304">
        <f t="shared" ca="1" si="42"/>
        <v>173.07255785418334</v>
      </c>
      <c r="J71" s="306">
        <f t="shared" ca="1" si="43"/>
        <v>159.40287887903915</v>
      </c>
      <c r="K71" s="307">
        <f t="shared" ca="1" si="44"/>
        <v>671.29402420200768</v>
      </c>
      <c r="L71" s="304">
        <f t="shared" ca="1" si="29"/>
        <v>689.96010371923046</v>
      </c>
      <c r="M71" s="306">
        <f t="shared" ca="1" si="45"/>
        <v>1.3061796564749391</v>
      </c>
      <c r="N71" s="304">
        <f t="shared" ca="1" si="46"/>
        <v>74.838581601861719</v>
      </c>
      <c r="P71" s="310">
        <f t="shared" ca="1" si="47"/>
        <v>5</v>
      </c>
      <c r="Q71" s="304">
        <f t="shared" ca="1" si="48"/>
        <v>148.00000000000568</v>
      </c>
      <c r="R71" s="306">
        <f t="shared" ca="1" si="49"/>
        <v>7.8550968828983631E-2</v>
      </c>
      <c r="S71" s="307">
        <f t="shared" ca="1" si="50"/>
        <v>2.9901060657118794</v>
      </c>
      <c r="T71" s="304">
        <f t="shared" ca="1" si="30"/>
        <v>29.332940504633537</v>
      </c>
      <c r="U71" s="311">
        <f t="shared" ca="1" si="31"/>
        <v>0</v>
      </c>
      <c r="V71" s="306">
        <f t="shared" ca="1" si="32"/>
        <v>1.1454369906707662</v>
      </c>
      <c r="W71" s="304">
        <f t="shared" ca="1" si="33"/>
        <v>70.258762793383738</v>
      </c>
      <c r="Y71" s="314" t="str">
        <f t="shared" ca="1" si="51"/>
        <v/>
      </c>
      <c r="Z71" s="315" t="str">
        <f t="shared" ca="1" si="52"/>
        <v/>
      </c>
      <c r="AA71" s="316" t="str">
        <f t="shared" ca="1" si="53"/>
        <v/>
      </c>
      <c r="AC71" s="310" t="e">
        <f t="shared" ca="1" si="54"/>
        <v>#N/A</v>
      </c>
      <c r="AD71" s="323" t="e">
        <f t="shared" ca="1" si="55"/>
        <v>#N/A</v>
      </c>
      <c r="AE71" s="324">
        <f t="shared" ca="1" si="34"/>
        <v>671.29402420200768</v>
      </c>
      <c r="AG71" s="306">
        <f t="shared" ca="1" si="56"/>
        <v>16.57162492510993</v>
      </c>
      <c r="AH71" s="304">
        <f t="shared" ca="1" si="57"/>
        <v>26.040546601916407</v>
      </c>
    </row>
    <row r="72" spans="1:34" x14ac:dyDescent="0.2">
      <c r="A72" s="347">
        <f t="shared" ca="1" si="35"/>
        <v>0.01</v>
      </c>
      <c r="B72" s="304">
        <f t="shared" ca="1" si="36"/>
        <v>5.2799999999999851</v>
      </c>
      <c r="D72" s="306">
        <f t="shared" ca="1" si="37"/>
        <v>6.4516649363098209</v>
      </c>
      <c r="E72" s="307">
        <f t="shared" ca="1" si="38"/>
        <v>13.99942640311126</v>
      </c>
      <c r="F72" s="304">
        <f t="shared" ca="1" si="39"/>
        <v>15.414535999067187</v>
      </c>
      <c r="G72" s="306">
        <f t="shared" ca="1" si="40"/>
        <v>45.32979233450228</v>
      </c>
      <c r="H72" s="307">
        <f t="shared" ca="1" si="41"/>
        <v>167.18838575385658</v>
      </c>
      <c r="I72" s="304">
        <f t="shared" ca="1" si="42"/>
        <v>173.22455485314273</v>
      </c>
      <c r="J72" s="306">
        <f t="shared" ca="1" si="43"/>
        <v>159.85585421913737</v>
      </c>
      <c r="K72" s="307">
        <f t="shared" ca="1" si="44"/>
        <v>672.96520808822606</v>
      </c>
      <c r="L72" s="304">
        <f t="shared" ca="1" si="29"/>
        <v>691.69072960779192</v>
      </c>
      <c r="M72" s="306">
        <f t="shared" ca="1" si="45"/>
        <v>1.306031542337907</v>
      </c>
      <c r="N72" s="304">
        <f t="shared" ca="1" si="46"/>
        <v>74.830095286923552</v>
      </c>
      <c r="P72" s="310">
        <f t="shared" ca="1" si="47"/>
        <v>5</v>
      </c>
      <c r="Q72" s="304">
        <f t="shared" ca="1" si="48"/>
        <v>144.00000000000577</v>
      </c>
      <c r="R72" s="306">
        <f t="shared" ca="1" si="49"/>
        <v>7.6427969671443663E-2</v>
      </c>
      <c r="S72" s="307">
        <f t="shared" ca="1" si="50"/>
        <v>2.989341786015165</v>
      </c>
      <c r="T72" s="304">
        <f t="shared" ca="1" si="30"/>
        <v>29.325442920808769</v>
      </c>
      <c r="U72" s="311">
        <f t="shared" ca="1" si="31"/>
        <v>0</v>
      </c>
      <c r="V72" s="306">
        <f t="shared" ca="1" si="32"/>
        <v>1.145245366679615</v>
      </c>
      <c r="W72" s="304">
        <f t="shared" ca="1" si="33"/>
        <v>70.370448794421549</v>
      </c>
      <c r="Y72" s="314" t="str">
        <f t="shared" ca="1" si="51"/>
        <v/>
      </c>
      <c r="Z72" s="315" t="str">
        <f t="shared" ca="1" si="52"/>
        <v/>
      </c>
      <c r="AA72" s="316" t="str">
        <f t="shared" ca="1" si="53"/>
        <v/>
      </c>
      <c r="AC72" s="310" t="e">
        <f t="shared" ca="1" si="54"/>
        <v>#N/A</v>
      </c>
      <c r="AD72" s="323" t="e">
        <f t="shared" ca="1" si="55"/>
        <v>#N/A</v>
      </c>
      <c r="AE72" s="324">
        <f t="shared" ca="1" si="34"/>
        <v>672.96520808822606</v>
      </c>
      <c r="AG72" s="306">
        <f t="shared" ca="1" si="56"/>
        <v>15.199509887676591</v>
      </c>
      <c r="AH72" s="304">
        <f t="shared" ca="1" si="57"/>
        <v>24.66805152612547</v>
      </c>
    </row>
    <row r="73" spans="1:34" x14ac:dyDescent="0.2">
      <c r="A73" s="347">
        <f t="shared" ca="1" si="35"/>
        <v>0.01</v>
      </c>
      <c r="B73" s="304">
        <f t="shared" ca="1" si="36"/>
        <v>5.2899999999999849</v>
      </c>
      <c r="D73" s="306">
        <f t="shared" ca="1" si="37"/>
        <v>5.9800152638801807</v>
      </c>
      <c r="E73" s="307">
        <f t="shared" ca="1" si="38"/>
        <v>12.245894087795579</v>
      </c>
      <c r="F73" s="304">
        <f t="shared" ca="1" si="39"/>
        <v>13.62800442345638</v>
      </c>
      <c r="G73" s="306">
        <f t="shared" ca="1" si="40"/>
        <v>45.38959248714108</v>
      </c>
      <c r="H73" s="307">
        <f t="shared" ca="1" si="41"/>
        <v>167.31084469473453</v>
      </c>
      <c r="I73" s="304">
        <f t="shared" ca="1" si="42"/>
        <v>173.35839713903192</v>
      </c>
      <c r="J73" s="306">
        <f t="shared" ca="1" si="43"/>
        <v>160.30945114324558</v>
      </c>
      <c r="K73" s="307">
        <f t="shared" ca="1" si="44"/>
        <v>674.63770424046902</v>
      </c>
      <c r="L73" s="304">
        <f t="shared" ca="1" si="29"/>
        <v>693.42278020605818</v>
      </c>
      <c r="M73" s="306">
        <f t="shared" ca="1" si="45"/>
        <v>1.3058834616573876</v>
      </c>
      <c r="N73" s="304">
        <f t="shared" ca="1" si="46"/>
        <v>74.82161088890237</v>
      </c>
      <c r="P73" s="310">
        <f t="shared" ca="1" si="47"/>
        <v>6</v>
      </c>
      <c r="Q73" s="304">
        <f t="shared" ca="1" si="48"/>
        <v>138.66666666667643</v>
      </c>
      <c r="R73" s="306">
        <f t="shared" ca="1" si="49"/>
        <v>7.3597304128059093E-2</v>
      </c>
      <c r="S73" s="307">
        <f t="shared" ca="1" si="50"/>
        <v>2.9886058129738844</v>
      </c>
      <c r="T73" s="304">
        <f t="shared" ca="1" si="30"/>
        <v>29.318223025273806</v>
      </c>
      <c r="U73" s="311">
        <f t="shared" ca="1" si="31"/>
        <v>0</v>
      </c>
      <c r="V73" s="306">
        <f t="shared" ca="1" si="32"/>
        <v>1.1450536232347068</v>
      </c>
      <c r="W73" s="304">
        <f t="shared" ca="1" si="33"/>
        <v>70.467434499151551</v>
      </c>
      <c r="Y73" s="314" t="str">
        <f t="shared" ca="1" si="51"/>
        <v/>
      </c>
      <c r="Z73" s="315" t="str">
        <f t="shared" ca="1" si="52"/>
        <v/>
      </c>
      <c r="AA73" s="316" t="str">
        <f t="shared" ca="1" si="53"/>
        <v/>
      </c>
      <c r="AC73" s="310" t="e">
        <f t="shared" ca="1" si="54"/>
        <v>#N/A</v>
      </c>
      <c r="AD73" s="323" t="e">
        <f t="shared" ca="1" si="55"/>
        <v>#N/A</v>
      </c>
      <c r="AE73" s="324">
        <f t="shared" ca="1" si="34"/>
        <v>674.63770424046902</v>
      </c>
      <c r="AG73" s="306">
        <f t="shared" ca="1" si="56"/>
        <v>13.384038519744644</v>
      </c>
      <c r="AH73" s="304">
        <f t="shared" ca="1" si="57"/>
        <v>22.852200037814651</v>
      </c>
    </row>
    <row r="74" spans="1:34" x14ac:dyDescent="0.2">
      <c r="A74" s="347">
        <f t="shared" ca="1" si="35"/>
        <v>0.01</v>
      </c>
      <c r="B74" s="304">
        <f t="shared" ca="1" si="36"/>
        <v>5.2999999999999847</v>
      </c>
      <c r="D74" s="306">
        <f t="shared" ca="1" si="37"/>
        <v>5.3919965535261101</v>
      </c>
      <c r="E74" s="307">
        <f t="shared" ca="1" si="38"/>
        <v>10.065470312211508</v>
      </c>
      <c r="F74" s="304">
        <f t="shared" ca="1" si="39"/>
        <v>11.418726699560187</v>
      </c>
      <c r="G74" s="306">
        <f t="shared" ca="1" si="40"/>
        <v>45.443512452676337</v>
      </c>
      <c r="H74" s="307">
        <f t="shared" ca="1" si="41"/>
        <v>167.41149939785663</v>
      </c>
      <c r="I74" s="304">
        <f t="shared" ca="1" si="42"/>
        <v>173.46966004081261</v>
      </c>
      <c r="J74" s="306">
        <f t="shared" ca="1" si="43"/>
        <v>160.76361666794466</v>
      </c>
      <c r="K74" s="307">
        <f t="shared" ca="1" si="44"/>
        <v>676.31131596093201</v>
      </c>
      <c r="L74" s="304">
        <f t="shared" ca="1" si="29"/>
        <v>695.1560519343592</v>
      </c>
      <c r="M74" s="306">
        <f t="shared" ca="1" si="45"/>
        <v>1.305735395132944</v>
      </c>
      <c r="N74" s="304">
        <f t="shared" ca="1" si="46"/>
        <v>74.813127301964585</v>
      </c>
      <c r="P74" s="310">
        <f t="shared" ca="1" si="47"/>
        <v>6</v>
      </c>
      <c r="Q74" s="304">
        <f t="shared" ca="1" si="48"/>
        <v>132.00000000000992</v>
      </c>
      <c r="R74" s="306">
        <f t="shared" ca="1" si="49"/>
        <v>7.0058972198825814E-2</v>
      </c>
      <c r="S74" s="307">
        <f t="shared" ca="1" si="50"/>
        <v>2.9879052232518961</v>
      </c>
      <c r="T74" s="304">
        <f t="shared" ca="1" si="30"/>
        <v>29.311350240101103</v>
      </c>
      <c r="U74" s="311">
        <f t="shared" ca="1" si="31"/>
        <v>0</v>
      </c>
      <c r="V74" s="306">
        <f t="shared" ca="1" si="32"/>
        <v>1.1448617829464969</v>
      </c>
      <c r="W74" s="304">
        <f t="shared" ca="1" si="33"/>
        <v>70.54609557973086</v>
      </c>
      <c r="Y74" s="314" t="str">
        <f t="shared" ca="1" si="51"/>
        <v/>
      </c>
      <c r="Z74" s="315" t="str">
        <f t="shared" ca="1" si="52"/>
        <v/>
      </c>
      <c r="AA74" s="316" t="str">
        <f t="shared" ca="1" si="53"/>
        <v/>
      </c>
      <c r="AC74" s="310" t="e">
        <f t="shared" ca="1" si="54"/>
        <v>#N/A</v>
      </c>
      <c r="AD74" s="323" t="e">
        <f t="shared" ca="1" si="55"/>
        <v>#N/A</v>
      </c>
      <c r="AE74" s="324">
        <f t="shared" ca="1" si="34"/>
        <v>676.31131596093201</v>
      </c>
      <c r="AG74" s="306">
        <f t="shared" ca="1" si="56"/>
        <v>11.126100023269231</v>
      </c>
      <c r="AH74" s="304">
        <f t="shared" ca="1" si="57"/>
        <v>20.593881299182978</v>
      </c>
    </row>
    <row r="75" spans="1:34" x14ac:dyDescent="0.2">
      <c r="A75" s="347">
        <f t="shared" ca="1" si="35"/>
        <v>0.01</v>
      </c>
      <c r="B75" s="304">
        <f t="shared" ca="1" si="36"/>
        <v>5.3099999999999845</v>
      </c>
      <c r="D75" s="306">
        <f t="shared" ca="1" si="37"/>
        <v>4.8046045791174539</v>
      </c>
      <c r="E75" s="307">
        <f t="shared" ca="1" si="38"/>
        <v>7.889909474239813</v>
      </c>
      <c r="F75" s="304">
        <f t="shared" ca="1" si="39"/>
        <v>9.2376889249084133</v>
      </c>
      <c r="G75" s="306">
        <f t="shared" ca="1" si="40"/>
        <v>45.491558498467512</v>
      </c>
      <c r="H75" s="307">
        <f t="shared" ca="1" si="41"/>
        <v>167.49039849259904</v>
      </c>
      <c r="I75" s="304">
        <f t="shared" ca="1" si="42"/>
        <v>173.5583921388681</v>
      </c>
      <c r="J75" s="306">
        <f t="shared" ca="1" si="43"/>
        <v>161.21829202270038</v>
      </c>
      <c r="K75" s="307">
        <f t="shared" ca="1" si="44"/>
        <v>677.98582545038425</v>
      </c>
      <c r="L75" s="304">
        <f t="shared" ca="1" si="29"/>
        <v>696.8903193432634</v>
      </c>
      <c r="M75" s="306">
        <f t="shared" ca="1" si="45"/>
        <v>1.3055873235377013</v>
      </c>
      <c r="N75" s="304">
        <f t="shared" ca="1" si="46"/>
        <v>74.804643424491417</v>
      </c>
      <c r="P75" s="310">
        <f t="shared" ca="1" si="47"/>
        <v>6</v>
      </c>
      <c r="Q75" s="304">
        <f t="shared" ca="1" si="48"/>
        <v>125.33333333334338</v>
      </c>
      <c r="R75" s="306">
        <f t="shared" ca="1" si="49"/>
        <v>6.6520640269592521E-2</v>
      </c>
      <c r="S75" s="307">
        <f t="shared" ca="1" si="50"/>
        <v>2.9872400168492002</v>
      </c>
      <c r="T75" s="304">
        <f t="shared" ca="1" si="30"/>
        <v>29.304824565290655</v>
      </c>
      <c r="U75" s="311">
        <f t="shared" ca="1" si="31"/>
        <v>0</v>
      </c>
      <c r="V75" s="306">
        <f t="shared" ca="1" si="32"/>
        <v>1.144669870829053</v>
      </c>
      <c r="W75" s="304">
        <f t="shared" ca="1" si="33"/>
        <v>70.606446941323</v>
      </c>
      <c r="Y75" s="314" t="str">
        <f t="shared" ca="1" si="51"/>
        <v/>
      </c>
      <c r="Z75" s="315" t="str">
        <f t="shared" ca="1" si="52"/>
        <v/>
      </c>
      <c r="AA75" s="316" t="str">
        <f t="shared" ca="1" si="53"/>
        <v/>
      </c>
      <c r="AC75" s="310" t="e">
        <f t="shared" ca="1" si="54"/>
        <v>#N/A</v>
      </c>
      <c r="AD75" s="323" t="e">
        <f t="shared" ca="1" si="55"/>
        <v>#N/A</v>
      </c>
      <c r="AE75" s="324">
        <f t="shared" ca="1" si="34"/>
        <v>677.98582545038425</v>
      </c>
      <c r="AG75" s="306">
        <f t="shared" ca="1" si="56"/>
        <v>8.8730195404488601</v>
      </c>
      <c r="AH75" s="304">
        <f t="shared" ca="1" si="57"/>
        <v>18.340420402977699</v>
      </c>
    </row>
    <row r="76" spans="1:34" x14ac:dyDescent="0.2">
      <c r="A76" s="347">
        <f t="shared" ca="1" si="35"/>
        <v>0.01</v>
      </c>
      <c r="B76" s="304">
        <f t="shared" ca="1" si="36"/>
        <v>5.3199999999999843</v>
      </c>
      <c r="D76" s="306">
        <f t="shared" ca="1" si="37"/>
        <v>4.2178623887036073</v>
      </c>
      <c r="E76" s="307">
        <f t="shared" ca="1" si="38"/>
        <v>5.7192866542418326</v>
      </c>
      <c r="F76" s="304">
        <f t="shared" ca="1" si="39"/>
        <v>7.1063776260081504</v>
      </c>
      <c r="G76" s="306">
        <f t="shared" ca="1" si="40"/>
        <v>45.533737122354545</v>
      </c>
      <c r="H76" s="307">
        <f t="shared" ca="1" si="41"/>
        <v>167.54759135914145</v>
      </c>
      <c r="I76" s="304">
        <f t="shared" ca="1" si="42"/>
        <v>173.62464279755204</v>
      </c>
      <c r="J76" s="306">
        <f t="shared" ca="1" si="43"/>
        <v>161.6734185008045</v>
      </c>
      <c r="K76" s="307">
        <f t="shared" ca="1" si="44"/>
        <v>679.66101539964291</v>
      </c>
      <c r="L76" s="304">
        <f t="shared" ca="1" si="29"/>
        <v>698.62535747266566</v>
      </c>
      <c r="M76" s="306">
        <f t="shared" ca="1" si="45"/>
        <v>1.3054392277039115</v>
      </c>
      <c r="N76" s="304">
        <f t="shared" ca="1" si="46"/>
        <v>74.796158158251785</v>
      </c>
      <c r="P76" s="310">
        <f t="shared" ca="1" si="47"/>
        <v>6</v>
      </c>
      <c r="Q76" s="304">
        <f t="shared" ca="1" si="48"/>
        <v>118.66666666667686</v>
      </c>
      <c r="R76" s="306">
        <f t="shared" ca="1" si="49"/>
        <v>6.2982308340359242E-2</v>
      </c>
      <c r="S76" s="307">
        <f t="shared" ca="1" si="50"/>
        <v>2.9866101937657965</v>
      </c>
      <c r="T76" s="304">
        <f t="shared" ca="1" si="30"/>
        <v>29.298646000842464</v>
      </c>
      <c r="U76" s="311">
        <f t="shared" ca="1" si="31"/>
        <v>0</v>
      </c>
      <c r="V76" s="306">
        <f t="shared" ca="1" si="32"/>
        <v>1.1444779118241293</v>
      </c>
      <c r="W76" s="304">
        <f t="shared" ca="1" si="33"/>
        <v>70.64851136303237</v>
      </c>
      <c r="Y76" s="314" t="str">
        <f t="shared" ca="1" si="51"/>
        <v/>
      </c>
      <c r="Z76" s="315" t="str">
        <f t="shared" ca="1" si="52"/>
        <v/>
      </c>
      <c r="AA76" s="316" t="str">
        <f t="shared" ca="1" si="53"/>
        <v/>
      </c>
      <c r="AC76" s="310" t="e">
        <f t="shared" ca="1" si="54"/>
        <v>#N/A</v>
      </c>
      <c r="AD76" s="323" t="e">
        <f t="shared" ca="1" si="55"/>
        <v>#N/A</v>
      </c>
      <c r="AE76" s="324">
        <f t="shared" ca="1" si="34"/>
        <v>679.66101539964291</v>
      </c>
      <c r="AG76" s="306">
        <f t="shared" ca="1" si="56"/>
        <v>6.6248754683471613</v>
      </c>
      <c r="AH76" s="304">
        <f t="shared" ca="1" si="57"/>
        <v>16.091895696892085</v>
      </c>
    </row>
    <row r="77" spans="1:34" x14ac:dyDescent="0.2">
      <c r="A77" s="347">
        <f t="shared" ca="1" si="35"/>
        <v>0.01</v>
      </c>
      <c r="B77" s="304">
        <f t="shared" ca="1" si="36"/>
        <v>5.3299999999999841</v>
      </c>
      <c r="D77" s="306">
        <f t="shared" ca="1" si="37"/>
        <v>3.6317921414468941</v>
      </c>
      <c r="E77" s="307">
        <f t="shared" ca="1" si="38"/>
        <v>3.5536741473993043</v>
      </c>
      <c r="F77" s="304">
        <f t="shared" ca="1" si="39"/>
        <v>5.0811921932327646</v>
      </c>
      <c r="G77" s="306">
        <f t="shared" ca="1" si="40"/>
        <v>45.570055043769017</v>
      </c>
      <c r="H77" s="307">
        <f t="shared" ca="1" si="41"/>
        <v>167.58312810061545</v>
      </c>
      <c r="I77" s="304">
        <f t="shared" ca="1" si="42"/>
        <v>173.66846213598896</v>
      </c>
      <c r="J77" s="306">
        <f t="shared" ca="1" si="43"/>
        <v>162.12893746163513</v>
      </c>
      <c r="K77" s="307">
        <f t="shared" ca="1" si="44"/>
        <v>681.33666899694174</v>
      </c>
      <c r="L77" s="304">
        <f t="shared" ca="1" si="29"/>
        <v>700.36094185947218</v>
      </c>
      <c r="M77" s="306">
        <f t="shared" ca="1" si="45"/>
        <v>1.3052910885086555</v>
      </c>
      <c r="N77" s="304">
        <f t="shared" ca="1" si="46"/>
        <v>74.78767040758315</v>
      </c>
      <c r="P77" s="310">
        <f t="shared" ca="1" si="47"/>
        <v>6</v>
      </c>
      <c r="Q77" s="304">
        <f t="shared" ca="1" si="48"/>
        <v>112.00000000001033</v>
      </c>
      <c r="R77" s="306">
        <f t="shared" ca="1" si="49"/>
        <v>5.9443976411125948E-2</v>
      </c>
      <c r="S77" s="307">
        <f t="shared" ca="1" si="50"/>
        <v>2.9860157540016852</v>
      </c>
      <c r="T77" s="304">
        <f t="shared" ca="1" si="30"/>
        <v>29.292814546756532</v>
      </c>
      <c r="U77" s="311">
        <f t="shared" ca="1" si="31"/>
        <v>0</v>
      </c>
      <c r="V77" s="306">
        <f t="shared" ca="1" si="32"/>
        <v>1.1442859308003583</v>
      </c>
      <c r="W77" s="304">
        <f t="shared" ca="1" si="33"/>
        <v>70.672319413049806</v>
      </c>
      <c r="Y77" s="314" t="str">
        <f t="shared" ca="1" si="51"/>
        <v/>
      </c>
      <c r="Z77" s="315" t="str">
        <f t="shared" ca="1" si="52"/>
        <v/>
      </c>
      <c r="AA77" s="316" t="str">
        <f t="shared" ca="1" si="53"/>
        <v/>
      </c>
      <c r="AC77" s="310" t="e">
        <f t="shared" ca="1" si="54"/>
        <v>#N/A</v>
      </c>
      <c r="AD77" s="323" t="e">
        <f t="shared" ca="1" si="55"/>
        <v>#N/A</v>
      </c>
      <c r="AE77" s="324">
        <f t="shared" ca="1" si="34"/>
        <v>681.33666899694174</v>
      </c>
      <c r="AG77" s="306">
        <f t="shared" ca="1" si="56"/>
        <v>4.3817432840495769</v>
      </c>
      <c r="AH77" s="304">
        <f t="shared" ca="1" si="57"/>
        <v>13.848382608685535</v>
      </c>
    </row>
    <row r="78" spans="1:34" x14ac:dyDescent="0.2">
      <c r="A78" s="347">
        <f t="shared" ca="1" si="35"/>
        <v>0.01</v>
      </c>
      <c r="B78" s="304">
        <f t="shared" ca="1" si="36"/>
        <v>5.3399999999999839</v>
      </c>
      <c r="D78" s="306">
        <f t="shared" ca="1" si="37"/>
        <v>3.0464151116015503</v>
      </c>
      <c r="E78" s="307">
        <f t="shared" ca="1" si="38"/>
        <v>1.3931414797463582</v>
      </c>
      <c r="F78" s="304">
        <f t="shared" ca="1" si="39"/>
        <v>3.3498489838773566</v>
      </c>
      <c r="G78" s="306">
        <f t="shared" ca="1" si="40"/>
        <v>45.600519194885031</v>
      </c>
      <c r="H78" s="307">
        <f t="shared" ca="1" si="41"/>
        <v>167.59705951541292</v>
      </c>
      <c r="I78" s="304">
        <f t="shared" ca="1" si="42"/>
        <v>173.68990099903891</v>
      </c>
      <c r="J78" s="306">
        <f t="shared" ca="1" si="43"/>
        <v>162.58479033282839</v>
      </c>
      <c r="K78" s="307">
        <f t="shared" ca="1" si="44"/>
        <v>683.01256993502193</v>
      </c>
      <c r="L78" s="304">
        <f t="shared" ca="1" si="29"/>
        <v>702.09684854499449</v>
      </c>
      <c r="M78" s="306">
        <f t="shared" ca="1" si="45"/>
        <v>1.3051428868596522</v>
      </c>
      <c r="N78" s="304">
        <f t="shared" ca="1" si="46"/>
        <v>74.77917907857838</v>
      </c>
      <c r="P78" s="310">
        <f t="shared" ca="1" si="47"/>
        <v>6</v>
      </c>
      <c r="Q78" s="304">
        <f t="shared" ca="1" si="48"/>
        <v>105.3333333333438</v>
      </c>
      <c r="R78" s="306">
        <f t="shared" ca="1" si="49"/>
        <v>5.5905644481892662E-2</v>
      </c>
      <c r="S78" s="307">
        <f t="shared" ca="1" si="50"/>
        <v>2.9854566975568662</v>
      </c>
      <c r="T78" s="304">
        <f t="shared" ca="1" si="30"/>
        <v>29.287330203032859</v>
      </c>
      <c r="U78" s="311">
        <f t="shared" ca="1" si="31"/>
        <v>0</v>
      </c>
      <c r="V78" s="306">
        <f t="shared" ca="1" si="32"/>
        <v>1.1440939525524807</v>
      </c>
      <c r="W78" s="304">
        <f t="shared" ca="1" si="33"/>
        <v>70.677909362887789</v>
      </c>
      <c r="Y78" s="314" t="str">
        <f t="shared" ca="1" si="51"/>
        <v/>
      </c>
      <c r="Z78" s="315" t="str">
        <f t="shared" ca="1" si="52"/>
        <v/>
      </c>
      <c r="AA78" s="316" t="str">
        <f t="shared" ca="1" si="53"/>
        <v/>
      </c>
      <c r="AC78" s="310" t="e">
        <f t="shared" ca="1" si="54"/>
        <v>#N/A</v>
      </c>
      <c r="AD78" s="323" t="e">
        <f t="shared" ca="1" si="55"/>
        <v>#N/A</v>
      </c>
      <c r="AE78" s="324">
        <f t="shared" ca="1" si="34"/>
        <v>683.01256993502193</v>
      </c>
      <c r="AG78" s="306">
        <f t="shared" ca="1" si="56"/>
        <v>2.1436955611027884</v>
      </c>
      <c r="AH78" s="304">
        <f t="shared" ca="1" si="57"/>
        <v>11.609953662586587</v>
      </c>
    </row>
    <row r="79" spans="1:34" x14ac:dyDescent="0.2">
      <c r="A79" s="347">
        <f t="shared" ca="1" si="35"/>
        <v>0.01</v>
      </c>
      <c r="B79" s="304">
        <f t="shared" ca="1" si="36"/>
        <v>5.3499999999999837</v>
      </c>
      <c r="D79" s="306">
        <f t="shared" ca="1" si="37"/>
        <v>2.4617516925637632</v>
      </c>
      <c r="E79" s="307">
        <f t="shared" ca="1" si="38"/>
        <v>-0.76224457494649478</v>
      </c>
      <c r="F79" s="304">
        <f t="shared" ca="1" si="39"/>
        <v>2.5770599891884389</v>
      </c>
      <c r="G79" s="306">
        <f t="shared" ca="1" si="40"/>
        <v>45.625136711810669</v>
      </c>
      <c r="H79" s="307">
        <f t="shared" ca="1" si="41"/>
        <v>167.58943706966346</v>
      </c>
      <c r="I79" s="304">
        <f t="shared" ca="1" si="42"/>
        <v>173.68901092843527</v>
      </c>
      <c r="J79" s="306">
        <f t="shared" ca="1" si="43"/>
        <v>163.04091861236188</v>
      </c>
      <c r="K79" s="307">
        <f t="shared" ca="1" si="44"/>
        <v>684.68850241794735</v>
      </c>
      <c r="L79" s="304">
        <f t="shared" ca="1" si="29"/>
        <v>703.83285408205711</v>
      </c>
      <c r="M79" s="306">
        <f t="shared" ca="1" si="45"/>
        <v>1.3049946036811504</v>
      </c>
      <c r="N79" s="304">
        <f t="shared" ca="1" si="46"/>
        <v>74.770683078277443</v>
      </c>
      <c r="P79" s="310">
        <f t="shared" ca="1" si="47"/>
        <v>6</v>
      </c>
      <c r="Q79" s="304">
        <f t="shared" ca="1" si="48"/>
        <v>98.666666666677287</v>
      </c>
      <c r="R79" s="306">
        <f t="shared" ca="1" si="49"/>
        <v>5.2367312552659383E-2</v>
      </c>
      <c r="S79" s="307">
        <f t="shared" ca="1" si="50"/>
        <v>2.9849330244313395</v>
      </c>
      <c r="T79" s="304">
        <f t="shared" ca="1" si="30"/>
        <v>29.282192969671442</v>
      </c>
      <c r="U79" s="311">
        <f t="shared" ca="1" si="31"/>
        <v>0</v>
      </c>
      <c r="V79" s="306">
        <f t="shared" ca="1" si="32"/>
        <v>1.1439020018006132</v>
      </c>
      <c r="W79" s="304">
        <f t="shared" ca="1" si="33"/>
        <v>70.665327100790563</v>
      </c>
      <c r="Y79" s="314" t="str">
        <f t="shared" ca="1" si="51"/>
        <v/>
      </c>
      <c r="Z79" s="315" t="str">
        <f t="shared" ca="1" si="52"/>
        <v/>
      </c>
      <c r="AA79" s="316" t="str">
        <f t="shared" ca="1" si="53"/>
        <v/>
      </c>
      <c r="AC79" s="310" t="e">
        <f t="shared" ca="1" si="54"/>
        <v>#N/A</v>
      </c>
      <c r="AD79" s="323" t="e">
        <f t="shared" ca="1" si="55"/>
        <v>#N/A</v>
      </c>
      <c r="AE79" s="324">
        <f t="shared" ca="1" si="34"/>
        <v>684.68850241794735</v>
      </c>
      <c r="AG79" s="306">
        <f t="shared" ca="1" si="56"/>
        <v>-8.9198013204574877E-2</v>
      </c>
      <c r="AH79" s="304">
        <f t="shared" ca="1" si="57"/>
        <v>9.3766784965373375</v>
      </c>
    </row>
    <row r="80" spans="1:34" x14ac:dyDescent="0.2">
      <c r="A80" s="347">
        <f t="shared" ca="1" si="35"/>
        <v>0.01</v>
      </c>
      <c r="B80" s="304">
        <f t="shared" ca="1" si="36"/>
        <v>5.3599999999999834</v>
      </c>
      <c r="D80" s="306">
        <f t="shared" ca="1" si="37"/>
        <v>1.8778214009865961</v>
      </c>
      <c r="E80" s="307">
        <f t="shared" ca="1" si="38"/>
        <v>-2.9124199774672581</v>
      </c>
      <c r="F80" s="304">
        <f t="shared" ca="1" si="39"/>
        <v>3.4653143203977392</v>
      </c>
      <c r="G80" s="306">
        <f t="shared" ca="1" si="40"/>
        <v>45.643914925820532</v>
      </c>
      <c r="H80" s="307">
        <f t="shared" ca="1" si="41"/>
        <v>167.56031286988878</v>
      </c>
      <c r="I80" s="304">
        <f t="shared" ca="1" si="42"/>
        <v>173.665844134103</v>
      </c>
      <c r="J80" s="306">
        <f t="shared" ca="1" si="43"/>
        <v>163.49726387055003</v>
      </c>
      <c r="K80" s="307">
        <f t="shared" ca="1" si="44"/>
        <v>686.36425116764508</v>
      </c>
      <c r="L80" s="304">
        <f t="shared" ca="1" si="29"/>
        <v>705.56873554181698</v>
      </c>
      <c r="M80" s="306">
        <f t="shared" ca="1" si="45"/>
        <v>1.3048462198998758</v>
      </c>
      <c r="N80" s="304">
        <f t="shared" ca="1" si="46"/>
        <v>74.762181313862214</v>
      </c>
      <c r="P80" s="310">
        <f t="shared" ca="1" si="47"/>
        <v>6</v>
      </c>
      <c r="Q80" s="304">
        <f t="shared" ca="1" si="48"/>
        <v>92.000000000010758</v>
      </c>
      <c r="R80" s="306">
        <f t="shared" ca="1" si="49"/>
        <v>4.882898062342609E-2</v>
      </c>
      <c r="S80" s="307">
        <f t="shared" ca="1" si="50"/>
        <v>2.9844447346251051</v>
      </c>
      <c r="T80" s="304">
        <f t="shared" ca="1" si="30"/>
        <v>29.277402846672281</v>
      </c>
      <c r="U80" s="311">
        <f t="shared" ca="1" si="31"/>
        <v>0</v>
      </c>
      <c r="V80" s="306">
        <f t="shared" ca="1" si="32"/>
        <v>1.1437101031895536</v>
      </c>
      <c r="W80" s="304">
        <f t="shared" ca="1" si="33"/>
        <v>70.634626044402012</v>
      </c>
      <c r="Y80" s="314" t="str">
        <f t="shared" ca="1" si="51"/>
        <v/>
      </c>
      <c r="Z80" s="315" t="str">
        <f t="shared" ca="1" si="52"/>
        <v/>
      </c>
      <c r="AA80" s="316" t="str">
        <f t="shared" ca="1" si="53"/>
        <v/>
      </c>
      <c r="AC80" s="310" t="e">
        <f t="shared" ca="1" si="54"/>
        <v>#N/A</v>
      </c>
      <c r="AD80" s="323" t="e">
        <f t="shared" ca="1" si="55"/>
        <v>#N/A</v>
      </c>
      <c r="AE80" s="324">
        <f t="shared" ca="1" si="34"/>
        <v>686.36425116764508</v>
      </c>
      <c r="AG80" s="306">
        <f t="shared" ca="1" si="56"/>
        <v>-2.3168706197515778</v>
      </c>
      <c r="AH80" s="304">
        <f t="shared" ca="1" si="57"/>
        <v>7.1486238802475857</v>
      </c>
    </row>
    <row r="81" spans="1:34" x14ac:dyDescent="0.2">
      <c r="A81" s="347">
        <f t="shared" ca="1" si="35"/>
        <v>0.01</v>
      </c>
      <c r="B81" s="304">
        <f t="shared" ca="1" si="36"/>
        <v>5.3699999999999832</v>
      </c>
      <c r="D81" s="306">
        <f t="shared" ca="1" si="37"/>
        <v>1.2946428809534691</v>
      </c>
      <c r="E81" s="307">
        <f t="shared" ca="1" si="38"/>
        <v>-5.0573234046665716</v>
      </c>
      <c r="F81" s="304">
        <f t="shared" ca="1" si="39"/>
        <v>5.2204042188887811</v>
      </c>
      <c r="G81" s="306">
        <f t="shared" ca="1" si="40"/>
        <v>45.656861354630067</v>
      </c>
      <c r="H81" s="307">
        <f t="shared" ca="1" si="41"/>
        <v>167.50973963584212</v>
      </c>
      <c r="I81" s="304">
        <f t="shared" ca="1" si="42"/>
        <v>173.62045346566612</v>
      </c>
      <c r="J81" s="306">
        <f t="shared" ca="1" si="43"/>
        <v>163.95376775195228</v>
      </c>
      <c r="K81" s="307">
        <f t="shared" ca="1" si="44"/>
        <v>688.03960143017378</v>
      </c>
      <c r="L81" s="304">
        <f t="shared" ca="1" si="29"/>
        <v>707.30427052029984</v>
      </c>
      <c r="M81" s="306">
        <f t="shared" ca="1" si="45"/>
        <v>1.3046977164310085</v>
      </c>
      <c r="N81" s="304">
        <f t="shared" ca="1" si="46"/>
        <v>74.753672691853069</v>
      </c>
      <c r="P81" s="310">
        <f t="shared" ca="1" si="47"/>
        <v>6</v>
      </c>
      <c r="Q81" s="304">
        <f t="shared" ca="1" si="48"/>
        <v>85.333333333344228</v>
      </c>
      <c r="R81" s="306">
        <f t="shared" ca="1" si="49"/>
        <v>4.5290648694192803E-2</v>
      </c>
      <c r="S81" s="307">
        <f t="shared" ca="1" si="50"/>
        <v>2.983991828138163</v>
      </c>
      <c r="T81" s="304">
        <f t="shared" ca="1" si="30"/>
        <v>29.27295983403538</v>
      </c>
      <c r="U81" s="311">
        <f t="shared" ca="1" si="31"/>
        <v>0</v>
      </c>
      <c r="V81" s="306">
        <f t="shared" ca="1" si="32"/>
        <v>1.1435182812881222</v>
      </c>
      <c r="W81" s="304">
        <f t="shared" ca="1" si="33"/>
        <v>70.585867052774162</v>
      </c>
      <c r="Y81" s="314" t="str">
        <f t="shared" ca="1" si="51"/>
        <v/>
      </c>
      <c r="Z81" s="315" t="str">
        <f t="shared" ca="1" si="52"/>
        <v/>
      </c>
      <c r="AA81" s="316" t="str">
        <f t="shared" ca="1" si="53"/>
        <v/>
      </c>
      <c r="AC81" s="310" t="e">
        <f t="shared" ca="1" si="54"/>
        <v>#N/A</v>
      </c>
      <c r="AD81" s="323" t="e">
        <f t="shared" ca="1" si="55"/>
        <v>#N/A</v>
      </c>
      <c r="AE81" s="324">
        <f t="shared" ca="1" si="34"/>
        <v>688.03960143017378</v>
      </c>
      <c r="AG81" s="306">
        <f t="shared" ca="1" si="56"/>
        <v>-4.5392582887159678</v>
      </c>
      <c r="AH81" s="304">
        <f t="shared" ca="1" si="57"/>
        <v>4.9258537340276005</v>
      </c>
    </row>
    <row r="82" spans="1:34" x14ac:dyDescent="0.2">
      <c r="A82" s="347">
        <f t="shared" ca="1" si="35"/>
        <v>0.01</v>
      </c>
      <c r="B82" s="304">
        <f t="shared" ca="1" si="36"/>
        <v>5.379999999999983</v>
      </c>
      <c r="D82" s="306">
        <f t="shared" ca="1" si="37"/>
        <v>0.7122339082032435</v>
      </c>
      <c r="E82" s="307">
        <f t="shared" ca="1" si="38"/>
        <v>-7.1968962302016699</v>
      </c>
      <c r="F82" s="304">
        <f t="shared" ca="1" si="39"/>
        <v>7.2320531309086409</v>
      </c>
      <c r="G82" s="306">
        <f t="shared" ca="1" si="40"/>
        <v>45.663983693712098</v>
      </c>
      <c r="H82" s="307">
        <f t="shared" ca="1" si="41"/>
        <v>167.43777067354011</v>
      </c>
      <c r="I82" s="304">
        <f t="shared" ca="1" si="42"/>
        <v>173.55289238415077</v>
      </c>
      <c r="J82" s="306">
        <f t="shared" ca="1" si="43"/>
        <v>164.41037197719399</v>
      </c>
      <c r="K82" s="307">
        <f t="shared" ca="1" si="44"/>
        <v>689.71433898172063</v>
      </c>
      <c r="L82" s="304">
        <f t="shared" ca="1" si="29"/>
        <v>709.03923714465282</v>
      </c>
      <c r="M82" s="306">
        <f t="shared" ca="1" si="45"/>
        <v>1.3045490741641634</v>
      </c>
      <c r="N82" s="304">
        <f t="shared" ca="1" si="46"/>
        <v>74.745156117305584</v>
      </c>
      <c r="P82" s="310">
        <f t="shared" ca="1" si="47"/>
        <v>6</v>
      </c>
      <c r="Q82" s="304">
        <f t="shared" ca="1" si="48"/>
        <v>78.666666666677713</v>
      </c>
      <c r="R82" s="306">
        <f t="shared" ca="1" si="49"/>
        <v>4.1752316764959524E-2</v>
      </c>
      <c r="S82" s="307">
        <f t="shared" ca="1" si="50"/>
        <v>2.9835743049705132</v>
      </c>
      <c r="T82" s="304">
        <f t="shared" ca="1" si="30"/>
        <v>29.268863931760738</v>
      </c>
      <c r="U82" s="311">
        <f t="shared" ca="1" si="31"/>
        <v>0</v>
      </c>
      <c r="V82" s="306">
        <f t="shared" ca="1" si="32"/>
        <v>1.143326560588541</v>
      </c>
      <c r="W82" s="304">
        <f t="shared" ca="1" si="33"/>
        <v>70.519118337796272</v>
      </c>
      <c r="Y82" s="314" t="str">
        <f t="shared" ca="1" si="51"/>
        <v/>
      </c>
      <c r="Z82" s="315" t="str">
        <f t="shared" ca="1" si="52"/>
        <v/>
      </c>
      <c r="AA82" s="316" t="str">
        <f t="shared" ca="1" si="53"/>
        <v/>
      </c>
      <c r="AC82" s="310" t="e">
        <f t="shared" ca="1" si="54"/>
        <v>#N/A</v>
      </c>
      <c r="AD82" s="323" t="e">
        <f t="shared" ca="1" si="55"/>
        <v>#N/A</v>
      </c>
      <c r="AE82" s="324">
        <f t="shared" ca="1" si="34"/>
        <v>689.71433898172063</v>
      </c>
      <c r="AG82" s="306">
        <f t="shared" ca="1" si="56"/>
        <v>-6.7562998799581155</v>
      </c>
      <c r="AH82" s="304">
        <f t="shared" ca="1" si="57"/>
        <v>2.7084291483678715</v>
      </c>
    </row>
    <row r="83" spans="1:34" x14ac:dyDescent="0.2">
      <c r="A83" s="347">
        <f t="shared" ca="1" si="35"/>
        <v>0.01</v>
      </c>
      <c r="B83" s="304">
        <f t="shared" ca="1" si="36"/>
        <v>5.3899999999999828</v>
      </c>
      <c r="D83" s="306">
        <f t="shared" ca="1" si="37"/>
        <v>0.13061139439980249</v>
      </c>
      <c r="E83" s="307">
        <f t="shared" ca="1" si="38"/>
        <v>-9.331082504549931</v>
      </c>
      <c r="F83" s="304">
        <f t="shared" ca="1" si="39"/>
        <v>9.3319965732454531</v>
      </c>
      <c r="G83" s="306">
        <f t="shared" ca="1" si="40"/>
        <v>45.665289807656094</v>
      </c>
      <c r="H83" s="307">
        <f t="shared" ca="1" si="41"/>
        <v>167.34445984849461</v>
      </c>
      <c r="I83" s="304">
        <f t="shared" ca="1" si="42"/>
        <v>173.46321493389209</v>
      </c>
      <c r="J83" s="306">
        <f t="shared" ca="1" si="43"/>
        <v>164.86701834470082</v>
      </c>
      <c r="K83" s="307">
        <f t="shared" ca="1" si="44"/>
        <v>691.38825013433075</v>
      </c>
      <c r="L83" s="304">
        <f t="shared" ca="1" si="29"/>
        <v>710.77341407911695</v>
      </c>
      <c r="M83" s="306">
        <f t="shared" ca="1" si="45"/>
        <v>1.3044002739493492</v>
      </c>
      <c r="N83" s="304">
        <f t="shared" ca="1" si="46"/>
        <v>74.736630493006089</v>
      </c>
      <c r="P83" s="310">
        <f t="shared" ca="1" si="47"/>
        <v>6</v>
      </c>
      <c r="Q83" s="304">
        <f t="shared" ca="1" si="48"/>
        <v>72.000000000011184</v>
      </c>
      <c r="R83" s="306">
        <f t="shared" ca="1" si="49"/>
        <v>3.8213984835726238E-2</v>
      </c>
      <c r="S83" s="307">
        <f t="shared" ca="1" si="50"/>
        <v>2.9831921651221558</v>
      </c>
      <c r="T83" s="304">
        <f t="shared" ca="1" si="30"/>
        <v>29.265115139848351</v>
      </c>
      <c r="U83" s="311">
        <f t="shared" ca="1" si="31"/>
        <v>0</v>
      </c>
      <c r="V83" s="306">
        <f t="shared" ca="1" si="32"/>
        <v>1.1431349655058491</v>
      </c>
      <c r="W83" s="304">
        <f t="shared" ca="1" si="33"/>
        <v>70.434455375124728</v>
      </c>
      <c r="Y83" s="314" t="str">
        <f t="shared" ca="1" si="51"/>
        <v/>
      </c>
      <c r="Z83" s="315" t="str">
        <f t="shared" ca="1" si="52"/>
        <v/>
      </c>
      <c r="AA83" s="316" t="str">
        <f t="shared" ca="1" si="53"/>
        <v/>
      </c>
      <c r="AC83" s="310" t="e">
        <f t="shared" ca="1" si="54"/>
        <v>#N/A</v>
      </c>
      <c r="AD83" s="323" t="e">
        <f t="shared" ca="1" si="55"/>
        <v>#N/A</v>
      </c>
      <c r="AE83" s="324">
        <f t="shared" ca="1" si="34"/>
        <v>691.38825013433075</v>
      </c>
      <c r="AG83" s="306">
        <f t="shared" ca="1" si="56"/>
        <v>-8.9679370626885788</v>
      </c>
      <c r="AH83" s="304">
        <f t="shared" ca="1" si="57"/>
        <v>0.49640840423508997</v>
      </c>
    </row>
    <row r="84" spans="1:34" x14ac:dyDescent="0.2">
      <c r="A84" s="347">
        <f t="shared" ca="1" si="35"/>
        <v>0.01</v>
      </c>
      <c r="B84" s="304">
        <f t="shared" ca="1" si="36"/>
        <v>5.3999999999999826</v>
      </c>
      <c r="D84" s="306">
        <f t="shared" ca="1" si="37"/>
        <v>-0.45020860856151568</v>
      </c>
      <c r="E84" s="307">
        <f t="shared" ca="1" si="38"/>
        <v>-11.459828934321971</v>
      </c>
      <c r="F84" s="304">
        <f t="shared" ca="1" si="39"/>
        <v>11.468668928657149</v>
      </c>
      <c r="G84" s="306">
        <f t="shared" ca="1" si="40"/>
        <v>45.660787721570479</v>
      </c>
      <c r="H84" s="307">
        <f t="shared" ca="1" si="41"/>
        <v>167.2298615591514</v>
      </c>
      <c r="I84" s="304">
        <f t="shared" ca="1" si="42"/>
        <v>173.35147571465109</v>
      </c>
      <c r="J84" s="306">
        <f t="shared" ca="1" si="43"/>
        <v>165.32364873234695</v>
      </c>
      <c r="K84" s="307">
        <f t="shared" ca="1" si="44"/>
        <v>693.06112174136899</v>
      </c>
      <c r="L84" s="304">
        <f t="shared" ca="1" si="29"/>
        <v>712.50658053072118</v>
      </c>
      <c r="M84" s="306">
        <f t="shared" ca="1" si="45"/>
        <v>1.304251296582881</v>
      </c>
      <c r="N84" s="304">
        <f t="shared" ca="1" si="46"/>
        <v>74.728094718664494</v>
      </c>
      <c r="P84" s="310">
        <f t="shared" ca="1" si="47"/>
        <v>6</v>
      </c>
      <c r="Q84" s="304">
        <f t="shared" ca="1" si="48"/>
        <v>65.333333333344655</v>
      </c>
      <c r="R84" s="306">
        <f t="shared" ca="1" si="49"/>
        <v>3.4675652906492944E-2</v>
      </c>
      <c r="S84" s="307">
        <f t="shared" ca="1" si="50"/>
        <v>2.9828454085930907</v>
      </c>
      <c r="T84" s="304">
        <f t="shared" ca="1" si="30"/>
        <v>29.261713458298221</v>
      </c>
      <c r="U84" s="311">
        <f t="shared" ca="1" si="31"/>
        <v>0</v>
      </c>
      <c r="V84" s="306">
        <f t="shared" ca="1" si="32"/>
        <v>1.1429435203773535</v>
      </c>
      <c r="W84" s="304">
        <f t="shared" ca="1" si="33"/>
        <v>70.331960814691087</v>
      </c>
      <c r="Y84" s="314" t="str">
        <f t="shared" ca="1" si="51"/>
        <v/>
      </c>
      <c r="Z84" s="315" t="str">
        <f t="shared" ca="1" si="52"/>
        <v/>
      </c>
      <c r="AA84" s="316" t="str">
        <f t="shared" ca="1" si="53"/>
        <v/>
      </c>
      <c r="AC84" s="310" t="e">
        <f t="shared" ca="1" si="54"/>
        <v>#N/A</v>
      </c>
      <c r="AD84" s="323" t="e">
        <f t="shared" ca="1" si="55"/>
        <v>#N/A</v>
      </c>
      <c r="AE84" s="324">
        <f t="shared" ca="1" si="34"/>
        <v>693.06112174136899</v>
      </c>
      <c r="AG84" s="306">
        <f t="shared" ca="1" si="56"/>
        <v>-11.174114294450384</v>
      </c>
      <c r="AH84" s="304">
        <f t="shared" ca="1" si="57"/>
        <v>-1.710153005946796</v>
      </c>
    </row>
    <row r="85" spans="1:34" x14ac:dyDescent="0.2">
      <c r="A85" s="347">
        <f t="shared" ca="1" si="35"/>
        <v>0.01</v>
      </c>
      <c r="B85" s="304">
        <f t="shared" ca="1" si="36"/>
        <v>5.4099999999999824</v>
      </c>
      <c r="D85" s="306">
        <f t="shared" ca="1" si="37"/>
        <v>-0.89038262562829351</v>
      </c>
      <c r="E85" s="307">
        <f t="shared" ca="1" si="38"/>
        <v>-13.07097228384329</v>
      </c>
      <c r="F85" s="304">
        <f t="shared" ca="1" si="39"/>
        <v>13.101263208752819</v>
      </c>
      <c r="G85" s="306">
        <f t="shared" ca="1" si="40"/>
        <v>45.651883895314199</v>
      </c>
      <c r="H85" s="307">
        <f t="shared" ca="1" si="41"/>
        <v>167.09915183631296</v>
      </c>
      <c r="I85" s="304">
        <f t="shared" ca="1" si="42"/>
        <v>173.22303844352351</v>
      </c>
      <c r="J85" s="306">
        <f t="shared" ca="1" si="43"/>
        <v>165.78021209043138</v>
      </c>
      <c r="K85" s="307">
        <f t="shared" ca="1" si="44"/>
        <v>694.73276680834635</v>
      </c>
      <c r="L85" s="304">
        <f t="shared" ca="1" si="29"/>
        <v>714.23854278380168</v>
      </c>
      <c r="M85" s="306">
        <f t="shared" ca="1" si="45"/>
        <v>1.3041021273647937</v>
      </c>
      <c r="N85" s="304">
        <f t="shared" ca="1" si="46"/>
        <v>74.719547952034816</v>
      </c>
      <c r="P85" s="310">
        <f t="shared" ca="1" si="47"/>
        <v>7</v>
      </c>
      <c r="Q85" s="304">
        <f t="shared" ca="1" si="48"/>
        <v>60.250000000006018</v>
      </c>
      <c r="R85" s="306">
        <f t="shared" ca="1" si="49"/>
        <v>3.1977674810449698E-2</v>
      </c>
      <c r="S85" s="307">
        <f t="shared" ca="1" si="50"/>
        <v>2.982525631844986</v>
      </c>
      <c r="T85" s="304">
        <f t="shared" ca="1" si="30"/>
        <v>29.258576448399314</v>
      </c>
      <c r="U85" s="311">
        <f t="shared" ca="1" si="31"/>
        <v>0</v>
      </c>
      <c r="V85" s="306">
        <f t="shared" ca="1" si="32"/>
        <v>1.1427522465324904</v>
      </c>
      <c r="W85" s="304">
        <f t="shared" ca="1" si="33"/>
        <v>70.216027822730439</v>
      </c>
      <c r="Y85" s="314" t="str">
        <f t="shared" ca="1" si="51"/>
        <v/>
      </c>
      <c r="Z85" s="315" t="str">
        <f t="shared" ca="1" si="52"/>
        <v/>
      </c>
      <c r="AA85" s="316" t="str">
        <f t="shared" ca="1" si="53"/>
        <v/>
      </c>
      <c r="AC85" s="310" t="e">
        <f t="shared" ca="1" si="54"/>
        <v>#N/A</v>
      </c>
      <c r="AD85" s="323" t="e">
        <f t="shared" ca="1" si="55"/>
        <v>#N/A</v>
      </c>
      <c r="AE85" s="324">
        <f t="shared" ca="1" si="34"/>
        <v>694.73276680834635</v>
      </c>
      <c r="AG85" s="306">
        <f t="shared" ca="1" si="56"/>
        <v>-12.843919835994964</v>
      </c>
      <c r="AH85" s="304">
        <f t="shared" ca="1" si="57"/>
        <v>-3.38034339320946</v>
      </c>
    </row>
    <row r="86" spans="1:34" x14ac:dyDescent="0.2">
      <c r="A86" s="347">
        <f t="shared" ca="1" si="35"/>
        <v>0.01</v>
      </c>
      <c r="B86" s="304">
        <f t="shared" ca="1" si="36"/>
        <v>5.4199999999999822</v>
      </c>
      <c r="D86" s="306">
        <f t="shared" ca="1" si="37"/>
        <v>-1.1900144518612736</v>
      </c>
      <c r="E86" s="307">
        <f t="shared" ca="1" si="38"/>
        <v>-14.16579846025553</v>
      </c>
      <c r="F86" s="304">
        <f t="shared" ca="1" si="39"/>
        <v>14.215694862095791</v>
      </c>
      <c r="G86" s="306">
        <f t="shared" ca="1" si="40"/>
        <v>45.639983750795587</v>
      </c>
      <c r="H86" s="307">
        <f t="shared" ca="1" si="41"/>
        <v>166.95749385171041</v>
      </c>
      <c r="I86" s="304">
        <f t="shared" ca="1" si="42"/>
        <v>173.0832541582715</v>
      </c>
      <c r="J86" s="306">
        <f t="shared" ca="1" si="43"/>
        <v>166.23667142866194</v>
      </c>
      <c r="K86" s="307">
        <f t="shared" ca="1" si="44"/>
        <v>696.40305003678645</v>
      </c>
      <c r="L86" s="304">
        <f t="shared" ca="1" si="29"/>
        <v>715.96916066840458</v>
      </c>
      <c r="M86" s="306">
        <f t="shared" ca="1" si="45"/>
        <v>1.3039527561169464</v>
      </c>
      <c r="N86" s="304">
        <f t="shared" ca="1" si="46"/>
        <v>74.710989609952563</v>
      </c>
      <c r="P86" s="310">
        <f t="shared" ca="1" si="47"/>
        <v>7</v>
      </c>
      <c r="Q86" s="304">
        <f t="shared" ca="1" si="48"/>
        <v>56.750000000006082</v>
      </c>
      <c r="R86" s="306">
        <f t="shared" ca="1" si="49"/>
        <v>3.0120050547602212E-2</v>
      </c>
      <c r="S86" s="307">
        <f t="shared" ca="1" si="50"/>
        <v>2.9822244313395099</v>
      </c>
      <c r="T86" s="304">
        <f t="shared" ca="1" si="30"/>
        <v>29.255621671440593</v>
      </c>
      <c r="U86" s="311">
        <f t="shared" ca="1" si="31"/>
        <v>0</v>
      </c>
      <c r="V86" s="306">
        <f t="shared" ca="1" si="32"/>
        <v>1.1425611593731937</v>
      </c>
      <c r="W86" s="304">
        <f t="shared" ca="1" si="33"/>
        <v>70.091027970323651</v>
      </c>
      <c r="Y86" s="314" t="str">
        <f t="shared" ca="1" si="51"/>
        <v/>
      </c>
      <c r="Z86" s="315" t="str">
        <f t="shared" ca="1" si="52"/>
        <v/>
      </c>
      <c r="AA86" s="316" t="str">
        <f t="shared" ca="1" si="53"/>
        <v/>
      </c>
      <c r="AC86" s="310" t="e">
        <f t="shared" ca="1" si="54"/>
        <v>#N/A</v>
      </c>
      <c r="AD86" s="323" t="e">
        <f t="shared" ca="1" si="55"/>
        <v>#N/A</v>
      </c>
      <c r="AE86" s="324">
        <f t="shared" ca="1" si="34"/>
        <v>696.40305003678645</v>
      </c>
      <c r="AG86" s="306">
        <f t="shared" ca="1" si="56"/>
        <v>-13.978621614886563</v>
      </c>
      <c r="AH86" s="304">
        <f t="shared" ca="1" si="57"/>
        <v>-4.5154307238626883</v>
      </c>
    </row>
    <row r="87" spans="1:34" x14ac:dyDescent="0.2">
      <c r="A87" s="347">
        <f t="shared" ca="1" si="35"/>
        <v>0.01</v>
      </c>
      <c r="B87" s="304">
        <f t="shared" ca="1" si="36"/>
        <v>5.429999999999982</v>
      </c>
      <c r="D87" s="306">
        <f t="shared" ca="1" si="37"/>
        <v>-1.489223437504344</v>
      </c>
      <c r="E87" s="307">
        <f t="shared" ca="1" si="38"/>
        <v>-15.257789251384654</v>
      </c>
      <c r="F87" s="304">
        <f t="shared" ca="1" si="39"/>
        <v>15.330294168295707</v>
      </c>
      <c r="G87" s="306">
        <f t="shared" ca="1" si="40"/>
        <v>45.625091516420547</v>
      </c>
      <c r="H87" s="307">
        <f t="shared" ca="1" si="41"/>
        <v>166.80491595919656</v>
      </c>
      <c r="I87" s="304">
        <f t="shared" ca="1" si="42"/>
        <v>172.93215133119804</v>
      </c>
      <c r="J87" s="306">
        <f t="shared" ca="1" si="43"/>
        <v>166.69299680499802</v>
      </c>
      <c r="K87" s="307">
        <f t="shared" ca="1" si="44"/>
        <v>698.07186208584096</v>
      </c>
      <c r="L87" s="304">
        <f t="shared" ca="1" si="29"/>
        <v>717.69832089801105</v>
      </c>
      <c r="M87" s="306">
        <f t="shared" ca="1" si="45"/>
        <v>1.303803172615821</v>
      </c>
      <c r="N87" s="304">
        <f t="shared" ca="1" si="46"/>
        <v>74.702419106653295</v>
      </c>
      <c r="P87" s="310">
        <f t="shared" ca="1" si="47"/>
        <v>7</v>
      </c>
      <c r="Q87" s="304">
        <f t="shared" ca="1" si="48"/>
        <v>53.250000000006153</v>
      </c>
      <c r="R87" s="306">
        <f t="shared" ca="1" si="49"/>
        <v>2.8262426284754737E-2</v>
      </c>
      <c r="S87" s="307">
        <f t="shared" ca="1" si="50"/>
        <v>2.9819418070766623</v>
      </c>
      <c r="T87" s="304">
        <f t="shared" ca="1" si="30"/>
        <v>29.25284912742206</v>
      </c>
      <c r="U87" s="311">
        <f t="shared" ca="1" si="31"/>
        <v>0</v>
      </c>
      <c r="V87" s="306">
        <f t="shared" ca="1" si="32"/>
        <v>1.1423702713225599</v>
      </c>
      <c r="W87" s="304">
        <f t="shared" ca="1" si="33"/>
        <v>69.95701183351693</v>
      </c>
      <c r="Y87" s="314" t="str">
        <f t="shared" ca="1" si="51"/>
        <v/>
      </c>
      <c r="Z87" s="315" t="str">
        <f t="shared" ca="1" si="52"/>
        <v/>
      </c>
      <c r="AA87" s="316" t="str">
        <f t="shared" ca="1" si="53"/>
        <v/>
      </c>
      <c r="AC87" s="310" t="e">
        <f t="shared" ca="1" si="54"/>
        <v>#N/A</v>
      </c>
      <c r="AD87" s="323" t="e">
        <f t="shared" ca="1" si="55"/>
        <v>#N/A</v>
      </c>
      <c r="AE87" s="324">
        <f t="shared" ca="1" si="34"/>
        <v>698.07186208584096</v>
      </c>
      <c r="AG87" s="306">
        <f t="shared" ca="1" si="56"/>
        <v>-15.110476177124514</v>
      </c>
      <c r="AH87" s="304">
        <f t="shared" ca="1" si="57"/>
        <v>-5.6476715710383187</v>
      </c>
    </row>
    <row r="88" spans="1:34" x14ac:dyDescent="0.2">
      <c r="A88" s="347">
        <f t="shared" ca="1" si="35"/>
        <v>0.01</v>
      </c>
      <c r="B88" s="304">
        <f t="shared" ca="1" si="36"/>
        <v>5.4399999999999817</v>
      </c>
      <c r="D88" s="306">
        <f t="shared" ca="1" si="37"/>
        <v>-1.7880077392249474</v>
      </c>
      <c r="E88" s="307">
        <f t="shared" ca="1" si="38"/>
        <v>-16.346939889062362</v>
      </c>
      <c r="F88" s="304">
        <f t="shared" ca="1" si="39"/>
        <v>16.444434177318065</v>
      </c>
      <c r="G88" s="306">
        <f t="shared" ca="1" si="40"/>
        <v>45.607211439028298</v>
      </c>
      <c r="H88" s="307">
        <f t="shared" ca="1" si="41"/>
        <v>166.64144656030595</v>
      </c>
      <c r="I88" s="304">
        <f t="shared" ca="1" si="42"/>
        <v>172.76975848497196</v>
      </c>
      <c r="J88" s="306">
        <f t="shared" ca="1" si="43"/>
        <v>167.14915831977527</v>
      </c>
      <c r="K88" s="307">
        <f t="shared" ca="1" si="44"/>
        <v>699.73909389843845</v>
      </c>
      <c r="L88" s="304">
        <f t="shared" ca="1" si="29"/>
        <v>719.42591047085375</v>
      </c>
      <c r="M88" s="306">
        <f t="shared" ca="1" si="45"/>
        <v>1.3036533665885075</v>
      </c>
      <c r="N88" s="304">
        <f t="shared" ca="1" si="46"/>
        <v>74.693835853542609</v>
      </c>
      <c r="P88" s="310">
        <f t="shared" ca="1" si="47"/>
        <v>7</v>
      </c>
      <c r="Q88" s="304">
        <f t="shared" ca="1" si="48"/>
        <v>49.750000000006224</v>
      </c>
      <c r="R88" s="306">
        <f t="shared" ca="1" si="49"/>
        <v>2.6404802021907259E-2</v>
      </c>
      <c r="S88" s="307">
        <f t="shared" ca="1" si="50"/>
        <v>2.9816777590564434</v>
      </c>
      <c r="T88" s="304">
        <f t="shared" ca="1" si="30"/>
        <v>29.25025881634371</v>
      </c>
      <c r="U88" s="311">
        <f t="shared" ca="1" si="31"/>
        <v>0</v>
      </c>
      <c r="V88" s="306">
        <f t="shared" ca="1" si="32"/>
        <v>1.1421795947632736</v>
      </c>
      <c r="W88" s="304">
        <f t="shared" ca="1" si="33"/>
        <v>69.814031702006005</v>
      </c>
      <c r="Y88" s="314" t="str">
        <f t="shared" ca="1" si="51"/>
        <v/>
      </c>
      <c r="Z88" s="315" t="str">
        <f t="shared" ca="1" si="52"/>
        <v/>
      </c>
      <c r="AA88" s="316" t="str">
        <f t="shared" ca="1" si="53"/>
        <v/>
      </c>
      <c r="AC88" s="310" t="e">
        <f t="shared" ca="1" si="54"/>
        <v>#N/A</v>
      </c>
      <c r="AD88" s="323" t="e">
        <f t="shared" ca="1" si="55"/>
        <v>#N/A</v>
      </c>
      <c r="AE88" s="324">
        <f t="shared" ca="1" si="34"/>
        <v>699.73909389843845</v>
      </c>
      <c r="AG88" s="306">
        <f t="shared" ca="1" si="56"/>
        <v>-16.239478486223241</v>
      </c>
      <c r="AH88" s="304">
        <f t="shared" ca="1" si="57"/>
        <v>-6.7770609255593222</v>
      </c>
    </row>
    <row r="89" spans="1:34" x14ac:dyDescent="0.2">
      <c r="A89" s="347">
        <f t="shared" ca="1" si="35"/>
        <v>0.01</v>
      </c>
      <c r="B89" s="304">
        <f t="shared" ca="1" si="36"/>
        <v>5.4499999999999815</v>
      </c>
      <c r="D89" s="306">
        <f t="shared" ca="1" si="37"/>
        <v>-2.0863657316271973</v>
      </c>
      <c r="E89" s="307">
        <f t="shared" ca="1" si="38"/>
        <v>-17.433246249927155</v>
      </c>
      <c r="F89" s="304">
        <f t="shared" ca="1" si="39"/>
        <v>17.557647814462719</v>
      </c>
      <c r="G89" s="306">
        <f t="shared" ca="1" si="40"/>
        <v>45.586347781712028</v>
      </c>
      <c r="H89" s="307">
        <f t="shared" ca="1" si="41"/>
        <v>166.46711409780667</v>
      </c>
      <c r="I89" s="304">
        <f t="shared" ca="1" si="42"/>
        <v>172.59610418583435</v>
      </c>
      <c r="J89" s="306">
        <f t="shared" ca="1" si="43"/>
        <v>167.60512611587896</v>
      </c>
      <c r="K89" s="307">
        <f t="shared" ca="1" si="44"/>
        <v>701.40463670172903</v>
      </c>
      <c r="L89" s="304">
        <f t="shared" ca="1" si="29"/>
        <v>721.1518166703903</v>
      </c>
      <c r="M89" s="306">
        <f t="shared" ca="1" si="45"/>
        <v>1.3035033277086472</v>
      </c>
      <c r="N89" s="304">
        <f t="shared" ca="1" si="46"/>
        <v>74.685239258963747</v>
      </c>
      <c r="P89" s="310">
        <f t="shared" ca="1" si="47"/>
        <v>8</v>
      </c>
      <c r="Q89" s="304">
        <f t="shared" ca="1" si="48"/>
        <v>46.250000000006295</v>
      </c>
      <c r="R89" s="306">
        <f t="shared" ca="1" si="49"/>
        <v>2.4547177759059784E-2</v>
      </c>
      <c r="S89" s="307">
        <f t="shared" ca="1" si="50"/>
        <v>2.981432287278853</v>
      </c>
      <c r="T89" s="304">
        <f t="shared" ca="1" si="30"/>
        <v>29.24785073820555</v>
      </c>
      <c r="U89" s="311">
        <f t="shared" ca="1" si="31"/>
        <v>0</v>
      </c>
      <c r="V89" s="306">
        <f t="shared" ca="1" si="32"/>
        <v>1.1419891420376087</v>
      </c>
      <c r="W89" s="304">
        <f t="shared" ca="1" si="33"/>
        <v>69.662141556048923</v>
      </c>
      <c r="Y89" s="314" t="str">
        <f t="shared" ca="1" si="51"/>
        <v/>
      </c>
      <c r="Z89" s="315" t="str">
        <f t="shared" ca="1" si="52"/>
        <v/>
      </c>
      <c r="AA89" s="316" t="str">
        <f t="shared" ca="1" si="53"/>
        <v/>
      </c>
      <c r="AC89" s="310" t="e">
        <f t="shared" ca="1" si="54"/>
        <v>#N/A</v>
      </c>
      <c r="AD89" s="323" t="e">
        <f t="shared" ca="1" si="55"/>
        <v>#N/A</v>
      </c>
      <c r="AE89" s="324">
        <f t="shared" ca="1" si="34"/>
        <v>701.40463670172903</v>
      </c>
      <c r="AG89" s="306">
        <f t="shared" ca="1" si="56"/>
        <v>-17.365624185046983</v>
      </c>
      <c r="AH89" s="304">
        <f t="shared" ca="1" si="57"/>
        <v>-7.9035944577854398</v>
      </c>
    </row>
    <row r="90" spans="1:34" x14ac:dyDescent="0.2">
      <c r="A90" s="347">
        <f t="shared" ca="1" si="35"/>
        <v>0.01</v>
      </c>
      <c r="B90" s="304">
        <f t="shared" ca="1" si="36"/>
        <v>5.4599999999999813</v>
      </c>
      <c r="D90" s="306">
        <f t="shared" ca="1" si="37"/>
        <v>-2.3842960058514153</v>
      </c>
      <c r="E90" s="307">
        <f t="shared" ca="1" si="38"/>
        <v>-18.516704848337081</v>
      </c>
      <c r="F90" s="304">
        <f t="shared" ca="1" si="39"/>
        <v>18.669580227845216</v>
      </c>
      <c r="G90" s="306">
        <f t="shared" ca="1" si="40"/>
        <v>45.562504821653512</v>
      </c>
      <c r="H90" s="307">
        <f t="shared" ca="1" si="41"/>
        <v>166.28194704932329</v>
      </c>
      <c r="I90" s="304">
        <f t="shared" ca="1" si="42"/>
        <v>172.41121703687713</v>
      </c>
      <c r="J90" s="306">
        <f t="shared" ca="1" si="43"/>
        <v>168.0608703788958</v>
      </c>
      <c r="K90" s="307">
        <f t="shared" ca="1" si="44"/>
        <v>703.06838200746472</v>
      </c>
      <c r="L90" s="304">
        <f t="shared" ca="1" si="29"/>
        <v>722.87592706570763</v>
      </c>
      <c r="M90" s="306">
        <f t="shared" ca="1" si="45"/>
        <v>1.3033530455923332</v>
      </c>
      <c r="N90" s="304">
        <f t="shared" ca="1" si="46"/>
        <v>74.676628727962651</v>
      </c>
      <c r="P90" s="310">
        <f t="shared" ca="1" si="47"/>
        <v>8</v>
      </c>
      <c r="Q90" s="304">
        <f t="shared" ca="1" si="48"/>
        <v>42.750000000006374</v>
      </c>
      <c r="R90" s="306">
        <f t="shared" ca="1" si="49"/>
        <v>2.2689553496212312E-2</v>
      </c>
      <c r="S90" s="307">
        <f t="shared" ca="1" si="50"/>
        <v>2.9812053917438908</v>
      </c>
      <c r="T90" s="304">
        <f t="shared" ca="1" si="30"/>
        <v>29.24562489300757</v>
      </c>
      <c r="U90" s="311">
        <f t="shared" ca="1" si="31"/>
        <v>0</v>
      </c>
      <c r="V90" s="306">
        <f t="shared" ca="1" si="32"/>
        <v>1.1417989254474332</v>
      </c>
      <c r="W90" s="304">
        <f t="shared" ca="1" si="33"/>
        <v>69.50139704351156</v>
      </c>
      <c r="Y90" s="314" t="str">
        <f t="shared" ca="1" si="51"/>
        <v/>
      </c>
      <c r="Z90" s="315" t="str">
        <f t="shared" ca="1" si="52"/>
        <v/>
      </c>
      <c r="AA90" s="316" t="str">
        <f t="shared" ca="1" si="53"/>
        <v/>
      </c>
      <c r="AC90" s="310" t="e">
        <f t="shared" ca="1" si="54"/>
        <v>#N/A</v>
      </c>
      <c r="AD90" s="323" t="e">
        <f t="shared" ca="1" si="55"/>
        <v>#N/A</v>
      </c>
      <c r="AE90" s="324">
        <f t="shared" ca="1" si="34"/>
        <v>703.06838200746472</v>
      </c>
      <c r="AG90" s="306">
        <f t="shared" ca="1" si="56"/>
        <v>-18.488909588625209</v>
      </c>
      <c r="AH90" s="304">
        <f t="shared" ca="1" si="57"/>
        <v>-9.0272685104396579</v>
      </c>
    </row>
    <row r="91" spans="1:34" x14ac:dyDescent="0.2">
      <c r="A91" s="347">
        <f t="shared" ca="1" si="35"/>
        <v>0.01</v>
      </c>
      <c r="B91" s="304">
        <f t="shared" ca="1" si="36"/>
        <v>5.4699999999999811</v>
      </c>
      <c r="D91" s="306">
        <f t="shared" ca="1" si="37"/>
        <v>-2.6817973681875875</v>
      </c>
      <c r="E91" s="307">
        <f t="shared" ca="1" si="38"/>
        <v>-19.597312829255454</v>
      </c>
      <c r="F91" s="304">
        <f t="shared" ca="1" si="39"/>
        <v>19.779957210563381</v>
      </c>
      <c r="G91" s="306">
        <f t="shared" ca="1" si="40"/>
        <v>45.53568684797164</v>
      </c>
      <c r="H91" s="307">
        <f t="shared" ca="1" si="41"/>
        <v>166.08597392103073</v>
      </c>
      <c r="I91" s="304">
        <f t="shared" ca="1" si="42"/>
        <v>172.21512567139345</v>
      </c>
      <c r="J91" s="306">
        <f t="shared" ca="1" si="43"/>
        <v>168.51636133724392</v>
      </c>
      <c r="K91" s="307">
        <f t="shared" ca="1" si="44"/>
        <v>704.73022161231654</v>
      </c>
      <c r="L91" s="304">
        <f t="shared" ca="1" si="29"/>
        <v>724.59812951186211</v>
      </c>
      <c r="M91" s="306">
        <f t="shared" ca="1" si="45"/>
        <v>1.303202509793961</v>
      </c>
      <c r="N91" s="304">
        <f t="shared" ca="1" si="46"/>
        <v>74.668003662050296</v>
      </c>
      <c r="P91" s="310">
        <f t="shared" ca="1" si="47"/>
        <v>8</v>
      </c>
      <c r="Q91" s="304">
        <f t="shared" ca="1" si="48"/>
        <v>39.250000000006452</v>
      </c>
      <c r="R91" s="306">
        <f t="shared" ca="1" si="49"/>
        <v>2.0831929233364837E-2</v>
      </c>
      <c r="S91" s="307">
        <f t="shared" ca="1" si="50"/>
        <v>2.9809970724515571</v>
      </c>
      <c r="T91" s="304">
        <f t="shared" ca="1" si="30"/>
        <v>29.243581280749776</v>
      </c>
      <c r="U91" s="311">
        <f t="shared" ca="1" si="31"/>
        <v>0</v>
      </c>
      <c r="V91" s="306">
        <f t="shared" ca="1" si="32"/>
        <v>1.1416089572542267</v>
      </c>
      <c r="W91" s="304">
        <f t="shared" ca="1" si="33"/>
        <v>69.331855457053635</v>
      </c>
      <c r="Y91" s="314" t="str">
        <f t="shared" ca="1" si="51"/>
        <v/>
      </c>
      <c r="Z91" s="315" t="str">
        <f t="shared" ca="1" si="52"/>
        <v/>
      </c>
      <c r="AA91" s="316" t="str">
        <f t="shared" ca="1" si="53"/>
        <v/>
      </c>
      <c r="AC91" s="310" t="e">
        <f t="shared" ca="1" si="54"/>
        <v>#N/A</v>
      </c>
      <c r="AD91" s="323" t="e">
        <f t="shared" ca="1" si="55"/>
        <v>#N/A</v>
      </c>
      <c r="AE91" s="324">
        <f t="shared" ca="1" si="34"/>
        <v>704.73022161231654</v>
      </c>
      <c r="AG91" s="306">
        <f t="shared" ca="1" si="56"/>
        <v>-19.609331676945867</v>
      </c>
      <c r="AH91" s="304">
        <f t="shared" ca="1" si="57"/>
        <v>-10.148080091412673</v>
      </c>
    </row>
    <row r="92" spans="1:34" x14ac:dyDescent="0.2">
      <c r="A92" s="347">
        <f t="shared" ca="1" si="35"/>
        <v>0.01</v>
      </c>
      <c r="B92" s="304">
        <f t="shared" ca="1" si="36"/>
        <v>5.4799999999999809</v>
      </c>
      <c r="D92" s="306">
        <f t="shared" ca="1" si="37"/>
        <v>-2.9788688387039888</v>
      </c>
      <c r="E92" s="307">
        <f t="shared" ca="1" si="38"/>
        <v>-20.675067961112795</v>
      </c>
      <c r="F92" s="304">
        <f t="shared" ca="1" si="39"/>
        <v>20.888563731258174</v>
      </c>
      <c r="G92" s="306">
        <f t="shared" ca="1" si="40"/>
        <v>45.505898159584596</v>
      </c>
      <c r="H92" s="307">
        <f t="shared" ca="1" si="41"/>
        <v>165.8792232414196</v>
      </c>
      <c r="I92" s="304">
        <f t="shared" ca="1" si="42"/>
        <v>172.00785874630031</v>
      </c>
      <c r="J92" s="306">
        <f t="shared" ca="1" si="43"/>
        <v>168.97156926228169</v>
      </c>
      <c r="K92" s="307">
        <f t="shared" ca="1" si="44"/>
        <v>706.39004759812883</v>
      </c>
      <c r="L92" s="304">
        <f t="shared" ca="1" si="29"/>
        <v>726.31831215015143</v>
      </c>
      <c r="M92" s="306">
        <f t="shared" ca="1" si="45"/>
        <v>1.3030517098020244</v>
      </c>
      <c r="N92" s="304">
        <f t="shared" ca="1" si="46"/>
        <v>74.659363458961721</v>
      </c>
      <c r="P92" s="310">
        <f t="shared" ca="1" si="47"/>
        <v>8</v>
      </c>
      <c r="Q92" s="304">
        <f t="shared" ca="1" si="48"/>
        <v>35.750000000006523</v>
      </c>
      <c r="R92" s="306">
        <f t="shared" ca="1" si="49"/>
        <v>1.8974304970517362E-2</v>
      </c>
      <c r="S92" s="307">
        <f t="shared" ca="1" si="50"/>
        <v>2.980807329401852</v>
      </c>
      <c r="T92" s="304">
        <f t="shared" ca="1" si="30"/>
        <v>29.24171990143217</v>
      </c>
      <c r="U92" s="311">
        <f t="shared" ca="1" si="31"/>
        <v>0</v>
      </c>
      <c r="V92" s="306">
        <f t="shared" ca="1" si="32"/>
        <v>1.1414192496791027</v>
      </c>
      <c r="W92" s="304">
        <f t="shared" ca="1" si="33"/>
        <v>69.15357571146258</v>
      </c>
      <c r="Y92" s="314" t="str">
        <f t="shared" ca="1" si="51"/>
        <v/>
      </c>
      <c r="Z92" s="315" t="str">
        <f t="shared" ca="1" si="52"/>
        <v/>
      </c>
      <c r="AA92" s="316" t="str">
        <f t="shared" ca="1" si="53"/>
        <v/>
      </c>
      <c r="AC92" s="310" t="e">
        <f t="shared" ca="1" si="54"/>
        <v>#N/A</v>
      </c>
      <c r="AD92" s="323" t="e">
        <f t="shared" ca="1" si="55"/>
        <v>#N/A</v>
      </c>
      <c r="AE92" s="324">
        <f t="shared" ca="1" si="34"/>
        <v>706.39004759812883</v>
      </c>
      <c r="AG92" s="306">
        <f t="shared" ca="1" si="56"/>
        <v>-20.726888087729964</v>
      </c>
      <c r="AH92" s="304">
        <f t="shared" ca="1" si="57"/>
        <v>-11.26602686654889</v>
      </c>
    </row>
    <row r="93" spans="1:34" x14ac:dyDescent="0.2">
      <c r="A93" s="347">
        <f t="shared" ca="1" si="35"/>
        <v>0.01</v>
      </c>
      <c r="B93" s="304">
        <f t="shared" ca="1" si="36"/>
        <v>5.4899999999999807</v>
      </c>
      <c r="D93" s="306">
        <f t="shared" ca="1" si="37"/>
        <v>-3.2311332275504059</v>
      </c>
      <c r="E93" s="307">
        <f t="shared" ca="1" si="38"/>
        <v>-21.588206598537667</v>
      </c>
      <c r="F93" s="304">
        <f t="shared" ca="1" si="39"/>
        <v>21.828671193531815</v>
      </c>
      <c r="G93" s="306">
        <f t="shared" ca="1" si="40"/>
        <v>45.473586827309092</v>
      </c>
      <c r="H93" s="307">
        <f t="shared" ca="1" si="41"/>
        <v>165.66334117543423</v>
      </c>
      <c r="I93" s="304">
        <f t="shared" ca="1" si="42"/>
        <v>171.79112232111746</v>
      </c>
      <c r="J93" s="306">
        <f t="shared" ca="1" si="43"/>
        <v>169.42646668721616</v>
      </c>
      <c r="K93" s="307">
        <f t="shared" ca="1" si="44"/>
        <v>708.04776042021308</v>
      </c>
      <c r="L93" s="304">
        <f t="shared" ca="1" si="29"/>
        <v>728.03637179071893</v>
      </c>
      <c r="M93" s="306">
        <f t="shared" ca="1" si="45"/>
        <v>1.3029006365099669</v>
      </c>
      <c r="N93" s="304">
        <f t="shared" ca="1" si="46"/>
        <v>74.650707596929678</v>
      </c>
      <c r="P93" s="310">
        <f t="shared" ca="1" si="47"/>
        <v>9</v>
      </c>
      <c r="Q93" s="304">
        <f t="shared" ca="1" si="48"/>
        <v>32.750000000004718</v>
      </c>
      <c r="R93" s="306">
        <f t="shared" ca="1" si="49"/>
        <v>1.738205560236139E-2</v>
      </c>
      <c r="S93" s="307">
        <f t="shared" ca="1" si="50"/>
        <v>2.9806335088458282</v>
      </c>
      <c r="T93" s="304">
        <f t="shared" ca="1" si="30"/>
        <v>29.240014721777577</v>
      </c>
      <c r="U93" s="311">
        <f t="shared" ca="1" si="31"/>
        <v>0</v>
      </c>
      <c r="V93" s="306">
        <f t="shared" ca="1" si="32"/>
        <v>1.1412298139786443</v>
      </c>
      <c r="W93" s="304">
        <f t="shared" ca="1" si="33"/>
        <v>68.967965078761182</v>
      </c>
      <c r="Y93" s="314" t="str">
        <f t="shared" ca="1" si="51"/>
        <v/>
      </c>
      <c r="Z93" s="315" t="str">
        <f t="shared" ca="1" si="52"/>
        <v/>
      </c>
      <c r="AA93" s="316" t="str">
        <f t="shared" ca="1" si="53"/>
        <v/>
      </c>
      <c r="AC93" s="310" t="e">
        <f t="shared" ca="1" si="54"/>
        <v>#N/A</v>
      </c>
      <c r="AD93" s="323" t="e">
        <f t="shared" ca="1" si="55"/>
        <v>#N/A</v>
      </c>
      <c r="AE93" s="324">
        <f t="shared" ca="1" si="34"/>
        <v>708.04776042021308</v>
      </c>
      <c r="AG93" s="306">
        <f t="shared" ca="1" si="56"/>
        <v>-21.673838558924928</v>
      </c>
      <c r="AH93" s="304">
        <f t="shared" ca="1" si="57"/>
        <v>-12.213368602151355</v>
      </c>
    </row>
    <row r="94" spans="1:34" x14ac:dyDescent="0.2">
      <c r="A94" s="347">
        <f t="shared" ca="1" si="35"/>
        <v>0.01</v>
      </c>
      <c r="B94" s="304">
        <f t="shared" ca="1" si="36"/>
        <v>5.4999999999999805</v>
      </c>
      <c r="D94" s="306">
        <f t="shared" ca="1" si="37"/>
        <v>-3.438633046793496</v>
      </c>
      <c r="E94" s="307">
        <f t="shared" ca="1" si="38"/>
        <v>-22.337171911276819</v>
      </c>
      <c r="F94" s="304">
        <f t="shared" ca="1" si="39"/>
        <v>22.600297480883619</v>
      </c>
      <c r="G94" s="306">
        <f t="shared" ca="1" si="40"/>
        <v>45.43920049684116</v>
      </c>
      <c r="H94" s="307">
        <f t="shared" ca="1" si="41"/>
        <v>165.43996945632145</v>
      </c>
      <c r="I94" s="304">
        <f t="shared" ca="1" si="42"/>
        <v>171.56661806861118</v>
      </c>
      <c r="J94" s="306">
        <f t="shared" ca="1" si="43"/>
        <v>169.88103062383692</v>
      </c>
      <c r="K94" s="307">
        <f t="shared" ca="1" si="44"/>
        <v>709.70327697337189</v>
      </c>
      <c r="L94" s="304">
        <f t="shared" ca="1" si="29"/>
        <v>729.75222227312167</v>
      </c>
      <c r="M94" s="306">
        <f t="shared" ca="1" si="45"/>
        <v>1.3027492822276754</v>
      </c>
      <c r="N94" s="304">
        <f t="shared" ca="1" si="46"/>
        <v>74.642035635343149</v>
      </c>
      <c r="P94" s="310">
        <f t="shared" ca="1" si="47"/>
        <v>9</v>
      </c>
      <c r="Q94" s="304">
        <f t="shared" ca="1" si="48"/>
        <v>30.250000000004775</v>
      </c>
      <c r="R94" s="306">
        <f t="shared" ca="1" si="49"/>
        <v>1.6055181128898911E-2</v>
      </c>
      <c r="S94" s="307">
        <f t="shared" ca="1" si="50"/>
        <v>2.9804729570345394</v>
      </c>
      <c r="T94" s="304">
        <f t="shared" ca="1" si="30"/>
        <v>29.238439708508832</v>
      </c>
      <c r="U94" s="311">
        <f t="shared" ca="1" si="31"/>
        <v>0</v>
      </c>
      <c r="V94" s="306">
        <f t="shared" ca="1" si="32"/>
        <v>1.1410406595241729</v>
      </c>
      <c r="W94" s="304">
        <f t="shared" ca="1" si="33"/>
        <v>68.77642076117337</v>
      </c>
      <c r="Y94" s="314" t="str">
        <f t="shared" ca="1" si="51"/>
        <v/>
      </c>
      <c r="Z94" s="315" t="str">
        <f t="shared" ca="1" si="52"/>
        <v/>
      </c>
      <c r="AA94" s="316" t="str">
        <f t="shared" ca="1" si="53"/>
        <v/>
      </c>
      <c r="AC94" s="310" t="e">
        <f t="shared" ca="1" si="54"/>
        <v>#N/A</v>
      </c>
      <c r="AD94" s="323" t="e">
        <f t="shared" ca="1" si="55"/>
        <v>#N/A</v>
      </c>
      <c r="AE94" s="324">
        <f t="shared" ca="1" si="34"/>
        <v>709.70327697337189</v>
      </c>
      <c r="AG94" s="306">
        <f t="shared" ca="1" si="56"/>
        <v>-22.450621764048492</v>
      </c>
      <c r="AH94" s="304">
        <f t="shared" ca="1" si="57"/>
        <v>-12.990543996506968</v>
      </c>
    </row>
    <row r="95" spans="1:34" x14ac:dyDescent="0.2">
      <c r="A95" s="347">
        <f t="shared" ca="1" si="35"/>
        <v>0.01</v>
      </c>
      <c r="B95" s="304">
        <f t="shared" ca="1" si="36"/>
        <v>5.5099999999999802</v>
      </c>
      <c r="D95" s="306">
        <f t="shared" ca="1" si="37"/>
        <v>-3.6458416045401227</v>
      </c>
      <c r="E95" s="307">
        <f t="shared" ca="1" si="38"/>
        <v>-23.084175537917641</v>
      </c>
      <c r="F95" s="304">
        <f t="shared" ca="1" si="39"/>
        <v>23.370308540342183</v>
      </c>
      <c r="G95" s="306">
        <f t="shared" ca="1" si="40"/>
        <v>45.402742080795761</v>
      </c>
      <c r="H95" s="307">
        <f t="shared" ca="1" si="41"/>
        <v>165.20912770094228</v>
      </c>
      <c r="I95" s="304">
        <f t="shared" ca="1" si="42"/>
        <v>171.33436568348313</v>
      </c>
      <c r="J95" s="306">
        <f t="shared" ca="1" si="43"/>
        <v>170.33524033672509</v>
      </c>
      <c r="K95" s="307">
        <f t="shared" ca="1" si="44"/>
        <v>711.35652245915821</v>
      </c>
      <c r="L95" s="304">
        <f t="shared" ca="1" si="29"/>
        <v>731.46578603907153</v>
      </c>
      <c r="M95" s="306">
        <f t="shared" ca="1" si="45"/>
        <v>1.302597639209796</v>
      </c>
      <c r="N95" s="304">
        <f t="shared" ca="1" si="46"/>
        <v>74.633347130426031</v>
      </c>
      <c r="P95" s="310">
        <f t="shared" ca="1" si="47"/>
        <v>9</v>
      </c>
      <c r="Q95" s="304">
        <f t="shared" ca="1" si="48"/>
        <v>27.750000000004832</v>
      </c>
      <c r="R95" s="306">
        <f t="shared" ca="1" si="49"/>
        <v>1.4728306655436429E-2</v>
      </c>
      <c r="S95" s="307">
        <f t="shared" ca="1" si="50"/>
        <v>2.9803256739679851</v>
      </c>
      <c r="T95" s="304">
        <f t="shared" ca="1" si="30"/>
        <v>29.236994861625934</v>
      </c>
      <c r="U95" s="311">
        <f t="shared" ca="1" si="31"/>
        <v>0</v>
      </c>
      <c r="V95" s="306">
        <f t="shared" ca="1" si="32"/>
        <v>1.1408517947322747</v>
      </c>
      <c r="W95" s="304">
        <f t="shared" ca="1" si="33"/>
        <v>68.578986330034581</v>
      </c>
      <c r="Y95" s="314" t="str">
        <f t="shared" ca="1" si="51"/>
        <v/>
      </c>
      <c r="Z95" s="315" t="str">
        <f t="shared" ca="1" si="52"/>
        <v/>
      </c>
      <c r="AA95" s="316" t="str">
        <f t="shared" ca="1" si="53"/>
        <v/>
      </c>
      <c r="AC95" s="310" t="e">
        <f t="shared" ca="1" si="54"/>
        <v>#N/A</v>
      </c>
      <c r="AD95" s="323" t="e">
        <f t="shared" ca="1" si="55"/>
        <v>#N/A</v>
      </c>
      <c r="AE95" s="324">
        <f t="shared" ca="1" si="34"/>
        <v>711.35652245915821</v>
      </c>
      <c r="AG95" s="306">
        <f t="shared" ca="1" si="56"/>
        <v>-23.225435509676807</v>
      </c>
      <c r="AH95" s="304">
        <f t="shared" ca="1" si="57"/>
        <v>-13.765750877334908</v>
      </c>
    </row>
    <row r="96" spans="1:34" x14ac:dyDescent="0.2">
      <c r="A96" s="347">
        <f t="shared" ca="1" si="35"/>
        <v>0.01</v>
      </c>
      <c r="B96" s="304">
        <f t="shared" ca="1" si="36"/>
        <v>5.51999999999998</v>
      </c>
      <c r="D96" s="306">
        <f t="shared" ca="1" si="37"/>
        <v>-3.8527598161051757</v>
      </c>
      <c r="E96" s="307">
        <f t="shared" ca="1" si="38"/>
        <v>-23.8292212912446</v>
      </c>
      <c r="F96" s="304">
        <f t="shared" ca="1" si="39"/>
        <v>24.138673235033028</v>
      </c>
      <c r="G96" s="306">
        <f t="shared" ca="1" si="40"/>
        <v>45.364214482634708</v>
      </c>
      <c r="H96" s="307">
        <f t="shared" ca="1" si="41"/>
        <v>164.97083548802982</v>
      </c>
      <c r="I96" s="304">
        <f t="shared" ca="1" si="42"/>
        <v>171.09438482090837</v>
      </c>
      <c r="J96" s="306">
        <f t="shared" ca="1" si="43"/>
        <v>170.78907511954225</v>
      </c>
      <c r="K96" s="307">
        <f t="shared" ca="1" si="44"/>
        <v>713.00742227510307</v>
      </c>
      <c r="L96" s="304">
        <f t="shared" ca="1" si="29"/>
        <v>733.17698572689517</v>
      </c>
      <c r="M96" s="306">
        <f t="shared" ca="1" si="45"/>
        <v>1.3024456996533995</v>
      </c>
      <c r="N96" s="304">
        <f t="shared" ca="1" si="46"/>
        <v>74.624641635103416</v>
      </c>
      <c r="P96" s="310">
        <f t="shared" ca="1" si="47"/>
        <v>9</v>
      </c>
      <c r="Q96" s="304">
        <f t="shared" ca="1" si="48"/>
        <v>25.250000000004885</v>
      </c>
      <c r="R96" s="306">
        <f t="shared" ca="1" si="49"/>
        <v>1.3401432181973948E-2</v>
      </c>
      <c r="S96" s="307">
        <f t="shared" ca="1" si="50"/>
        <v>2.9801916596461653</v>
      </c>
      <c r="T96" s="304">
        <f t="shared" ca="1" si="30"/>
        <v>29.235680181128881</v>
      </c>
      <c r="U96" s="311">
        <f t="shared" ca="1" si="31"/>
        <v>0</v>
      </c>
      <c r="V96" s="306">
        <f t="shared" ca="1" si="32"/>
        <v>1.140663227991924</v>
      </c>
      <c r="W96" s="304">
        <f t="shared" ca="1" si="33"/>
        <v>68.375706039595286</v>
      </c>
      <c r="Y96" s="314" t="str">
        <f t="shared" ca="1" si="51"/>
        <v/>
      </c>
      <c r="Z96" s="315" t="str">
        <f t="shared" ca="1" si="52"/>
        <v/>
      </c>
      <c r="AA96" s="316" t="str">
        <f t="shared" ca="1" si="53"/>
        <v/>
      </c>
      <c r="AC96" s="310" t="e">
        <f t="shared" ca="1" si="54"/>
        <v>#N/A</v>
      </c>
      <c r="AD96" s="323" t="e">
        <f t="shared" ca="1" si="55"/>
        <v>#N/A</v>
      </c>
      <c r="AE96" s="324">
        <f t="shared" ca="1" si="34"/>
        <v>713.00742227510307</v>
      </c>
      <c r="AG96" s="306">
        <f t="shared" ca="1" si="56"/>
        <v>-23.998283748544534</v>
      </c>
      <c r="AH96" s="304">
        <f t="shared" ca="1" si="57"/>
        <v>-14.538993218702617</v>
      </c>
    </row>
    <row r="97" spans="1:34" x14ac:dyDescent="0.2">
      <c r="A97" s="347">
        <f t="shared" ca="1" si="35"/>
        <v>0.01</v>
      </c>
      <c r="B97" s="304">
        <f t="shared" ca="1" si="36"/>
        <v>5.5299999999999798</v>
      </c>
      <c r="D97" s="306">
        <f t="shared" ca="1" si="37"/>
        <v>-4.048268155118099</v>
      </c>
      <c r="E97" s="307">
        <f t="shared" ca="1" si="38"/>
        <v>-24.53187245929427</v>
      </c>
      <c r="F97" s="304">
        <f t="shared" ca="1" si="39"/>
        <v>24.863653018308149</v>
      </c>
      <c r="G97" s="306">
        <f t="shared" ca="1" si="40"/>
        <v>45.323731801083525</v>
      </c>
      <c r="H97" s="307">
        <f t="shared" ca="1" si="41"/>
        <v>164.72551676343687</v>
      </c>
      <c r="I97" s="304">
        <f t="shared" ca="1" si="42"/>
        <v>170.84711451282362</v>
      </c>
      <c r="J97" s="306">
        <f t="shared" ca="1" si="43"/>
        <v>171.24251485096084</v>
      </c>
      <c r="K97" s="307">
        <f t="shared" ca="1" si="44"/>
        <v>714.65590403636043</v>
      </c>
      <c r="L97" s="304">
        <f t="shared" ca="1" si="29"/>
        <v>734.88574626707054</v>
      </c>
      <c r="M97" s="306">
        <f t="shared" ca="1" si="45"/>
        <v>1.3022934560693611</v>
      </c>
      <c r="N97" s="304">
        <f t="shared" ca="1" si="46"/>
        <v>74.615918720280078</v>
      </c>
      <c r="P97" s="310">
        <f t="shared" ca="1" si="47"/>
        <v>10</v>
      </c>
      <c r="Q97" s="304">
        <f t="shared" ca="1" si="48"/>
        <v>22.875000000004444</v>
      </c>
      <c r="R97" s="306">
        <f t="shared" ca="1" si="49"/>
        <v>1.2140901432184329E-2</v>
      </c>
      <c r="S97" s="307">
        <f t="shared" ca="1" si="50"/>
        <v>2.9800702506318433</v>
      </c>
      <c r="T97" s="304">
        <f t="shared" ca="1" si="30"/>
        <v>29.234489158698384</v>
      </c>
      <c r="U97" s="311">
        <f t="shared" ca="1" si="31"/>
        <v>0</v>
      </c>
      <c r="V97" s="306">
        <f t="shared" ca="1" si="32"/>
        <v>1.1404749674336656</v>
      </c>
      <c r="W97" s="304">
        <f t="shared" ca="1" si="33"/>
        <v>68.166959494110003</v>
      </c>
      <c r="Y97" s="314" t="str">
        <f t="shared" ca="1" si="51"/>
        <v/>
      </c>
      <c r="Z97" s="315" t="str">
        <f t="shared" ca="1" si="52"/>
        <v/>
      </c>
      <c r="AA97" s="316" t="str">
        <f t="shared" ca="1" si="53"/>
        <v/>
      </c>
      <c r="AC97" s="310" t="e">
        <f t="shared" ca="1" si="54"/>
        <v>#N/A</v>
      </c>
      <c r="AD97" s="323" t="e">
        <f t="shared" ca="1" si="55"/>
        <v>#N/A</v>
      </c>
      <c r="AE97" s="324">
        <f t="shared" ca="1" si="34"/>
        <v>714.65590403636043</v>
      </c>
      <c r="AG97" s="306">
        <f t="shared" ca="1" si="56"/>
        <v>-24.727228804124703</v>
      </c>
      <c r="AH97" s="304">
        <f t="shared" ca="1" si="57"/>
        <v>-15.268333365612319</v>
      </c>
    </row>
    <row r="98" spans="1:34" x14ac:dyDescent="0.2">
      <c r="A98" s="347">
        <f t="shared" ca="1" si="35"/>
        <v>0.01</v>
      </c>
      <c r="B98" s="304">
        <f t="shared" ca="1" si="36"/>
        <v>5.5399999999999796</v>
      </c>
      <c r="D98" s="306">
        <f t="shared" ca="1" si="37"/>
        <v>-4.232378910110981</v>
      </c>
      <c r="E98" s="307">
        <f t="shared" ca="1" si="38"/>
        <v>-25.192246240589476</v>
      </c>
      <c r="F98" s="304">
        <f t="shared" ca="1" si="39"/>
        <v>25.545299017338724</v>
      </c>
      <c r="G98" s="306">
        <f t="shared" ca="1" si="40"/>
        <v>45.281408011982414</v>
      </c>
      <c r="H98" s="307">
        <f t="shared" ca="1" si="41"/>
        <v>164.47359430103097</v>
      </c>
      <c r="I98" s="304">
        <f t="shared" ca="1" si="42"/>
        <v>170.59299262820778</v>
      </c>
      <c r="J98" s="306">
        <f t="shared" ca="1" si="43"/>
        <v>171.69554055002618</v>
      </c>
      <c r="K98" s="307">
        <f t="shared" ca="1" si="44"/>
        <v>716.30189959168274</v>
      </c>
      <c r="L98" s="304">
        <f t="shared" ca="1" si="29"/>
        <v>736.59199697214933</v>
      </c>
      <c r="M98" s="306">
        <f t="shared" ca="1" si="45"/>
        <v>1.3021409012844578</v>
      </c>
      <c r="N98" s="304">
        <f t="shared" ca="1" si="46"/>
        <v>74.607177974960592</v>
      </c>
      <c r="P98" s="310">
        <f t="shared" ca="1" si="47"/>
        <v>10</v>
      </c>
      <c r="Q98" s="304">
        <f t="shared" ca="1" si="48"/>
        <v>20.625000000004487</v>
      </c>
      <c r="R98" s="306">
        <f t="shared" ca="1" si="49"/>
        <v>1.0946714406068092E-2</v>
      </c>
      <c r="S98" s="307">
        <f t="shared" ca="1" si="50"/>
        <v>2.9799607834877828</v>
      </c>
      <c r="T98" s="304">
        <f t="shared" ca="1" si="30"/>
        <v>29.233415286015152</v>
      </c>
      <c r="U98" s="311">
        <f t="shared" ca="1" si="31"/>
        <v>0</v>
      </c>
      <c r="V98" s="306">
        <f t="shared" ca="1" si="32"/>
        <v>1.140287020699664</v>
      </c>
      <c r="W98" s="304">
        <f t="shared" ca="1" si="33"/>
        <v>67.953123826397828</v>
      </c>
      <c r="Y98" s="314" t="str">
        <f t="shared" ca="1" si="51"/>
        <v/>
      </c>
      <c r="Z98" s="315" t="str">
        <f t="shared" ca="1" si="52"/>
        <v/>
      </c>
      <c r="AA98" s="316" t="str">
        <f t="shared" ca="1" si="53"/>
        <v/>
      </c>
      <c r="AC98" s="310" t="e">
        <f t="shared" ca="1" si="54"/>
        <v>#N/A</v>
      </c>
      <c r="AD98" s="323" t="e">
        <f t="shared" ca="1" si="55"/>
        <v>#N/A</v>
      </c>
      <c r="AE98" s="324">
        <f t="shared" ca="1" si="34"/>
        <v>716.30189959168274</v>
      </c>
      <c r="AG98" s="306">
        <f t="shared" ca="1" si="56"/>
        <v>-25.412386971799894</v>
      </c>
      <c r="AH98" s="304">
        <f t="shared" ca="1" si="57"/>
        <v>-15.953887634206319</v>
      </c>
    </row>
    <row r="99" spans="1:34" x14ac:dyDescent="0.2">
      <c r="A99" s="347">
        <f t="shared" ca="1" si="35"/>
        <v>0.01</v>
      </c>
      <c r="B99" s="304">
        <f t="shared" ca="1" si="36"/>
        <v>5.5499999999999794</v>
      </c>
      <c r="D99" s="306">
        <f t="shared" ca="1" si="37"/>
        <v>-4.4162381716809183</v>
      </c>
      <c r="E99" s="307">
        <f t="shared" ca="1" si="38"/>
        <v>-25.850900609662261</v>
      </c>
      <c r="F99" s="304">
        <f t="shared" ca="1" si="39"/>
        <v>26.225411758819885</v>
      </c>
      <c r="G99" s="306">
        <f t="shared" ca="1" si="40"/>
        <v>45.237245630265605</v>
      </c>
      <c r="H99" s="307">
        <f t="shared" ca="1" si="41"/>
        <v>164.21508529493434</v>
      </c>
      <c r="I99" s="304">
        <f t="shared" ca="1" si="42"/>
        <v>170.33203641897651</v>
      </c>
      <c r="J99" s="306">
        <f t="shared" ca="1" si="43"/>
        <v>172.14813381823743</v>
      </c>
      <c r="K99" s="307">
        <f t="shared" ca="1" si="44"/>
        <v>717.94534298966255</v>
      </c>
      <c r="L99" s="304">
        <f t="shared" ca="1" si="29"/>
        <v>738.29566942902079</v>
      </c>
      <c r="M99" s="306">
        <f t="shared" ca="1" si="45"/>
        <v>1.3019880280673297</v>
      </c>
      <c r="N99" s="304">
        <f t="shared" ca="1" si="46"/>
        <v>74.598418984818565</v>
      </c>
      <c r="P99" s="310">
        <f t="shared" ca="1" si="47"/>
        <v>10</v>
      </c>
      <c r="Q99" s="304">
        <f t="shared" ca="1" si="48"/>
        <v>18.37500000000453</v>
      </c>
      <c r="R99" s="306">
        <f t="shared" ca="1" si="49"/>
        <v>9.7525273799518551E-3</v>
      </c>
      <c r="S99" s="307">
        <f t="shared" ca="1" si="50"/>
        <v>2.9798632582139835</v>
      </c>
      <c r="T99" s="304">
        <f t="shared" ca="1" si="30"/>
        <v>29.232458563079181</v>
      </c>
      <c r="U99" s="311">
        <f t="shared" ca="1" si="31"/>
        <v>0</v>
      </c>
      <c r="V99" s="306">
        <f t="shared" ca="1" si="32"/>
        <v>1.1400993951762761</v>
      </c>
      <c r="W99" s="304">
        <f t="shared" ca="1" si="33"/>
        <v>67.734239976021044</v>
      </c>
      <c r="Y99" s="314" t="str">
        <f t="shared" ca="1" si="51"/>
        <v/>
      </c>
      <c r="Z99" s="315" t="str">
        <f t="shared" ca="1" si="52"/>
        <v/>
      </c>
      <c r="AA99" s="316" t="str">
        <f t="shared" ca="1" si="53"/>
        <v/>
      </c>
      <c r="AC99" s="310" t="e">
        <f t="shared" ca="1" si="54"/>
        <v>#N/A</v>
      </c>
      <c r="AD99" s="323" t="e">
        <f t="shared" ca="1" si="55"/>
        <v>#N/A</v>
      </c>
      <c r="AE99" s="324">
        <f t="shared" ca="1" si="34"/>
        <v>717.94534298966255</v>
      </c>
      <c r="AG99" s="306">
        <f t="shared" ca="1" si="56"/>
        <v>-26.095819957986567</v>
      </c>
      <c r="AH99" s="304">
        <f t="shared" ca="1" si="57"/>
        <v>-16.637717750883823</v>
      </c>
    </row>
    <row r="100" spans="1:34" x14ac:dyDescent="0.2">
      <c r="A100" s="347">
        <f t="shared" ca="1" si="35"/>
        <v>0.01</v>
      </c>
      <c r="B100" s="304">
        <f t="shared" ca="1" si="36"/>
        <v>5.5599999999999792</v>
      </c>
      <c r="D100" s="306">
        <f t="shared" ca="1" si="37"/>
        <v>-4.599847322371696</v>
      </c>
      <c r="E100" s="307">
        <f t="shared" ca="1" si="38"/>
        <v>-26.507840681121685</v>
      </c>
      <c r="F100" s="304">
        <f t="shared" ca="1" si="39"/>
        <v>26.903981358989601</v>
      </c>
      <c r="G100" s="306">
        <f t="shared" ca="1" si="40"/>
        <v>45.191247157041886</v>
      </c>
      <c r="H100" s="307">
        <f t="shared" ca="1" si="41"/>
        <v>163.95000688812311</v>
      </c>
      <c r="I100" s="304">
        <f t="shared" ca="1" si="42"/>
        <v>170.06426308376626</v>
      </c>
      <c r="J100" s="306">
        <f t="shared" ca="1" si="43"/>
        <v>172.60027628217395</v>
      </c>
      <c r="K100" s="307">
        <f t="shared" ca="1" si="44"/>
        <v>719.58616845057782</v>
      </c>
      <c r="L100" s="304">
        <f t="shared" ca="1" si="29"/>
        <v>739.99669539672016</v>
      </c>
      <c r="M100" s="306">
        <f t="shared" ca="1" si="45"/>
        <v>1.3018348291264343</v>
      </c>
      <c r="N100" s="304">
        <f t="shared" ca="1" si="46"/>
        <v>74.589641332079381</v>
      </c>
      <c r="P100" s="310">
        <f t="shared" ca="1" si="47"/>
        <v>10</v>
      </c>
      <c r="Q100" s="304">
        <f t="shared" ca="1" si="48"/>
        <v>16.125000000004576</v>
      </c>
      <c r="R100" s="306">
        <f t="shared" ca="1" si="49"/>
        <v>8.5583403538356199E-3</v>
      </c>
      <c r="S100" s="307">
        <f t="shared" ca="1" si="50"/>
        <v>2.9797776748104452</v>
      </c>
      <c r="T100" s="304">
        <f t="shared" ca="1" si="30"/>
        <v>29.231618989890467</v>
      </c>
      <c r="U100" s="311">
        <f t="shared" ca="1" si="31"/>
        <v>0</v>
      </c>
      <c r="V100" s="306">
        <f t="shared" ca="1" si="32"/>
        <v>1.1399120982257656</v>
      </c>
      <c r="W100" s="304">
        <f t="shared" ca="1" si="33"/>
        <v>67.510349370908372</v>
      </c>
      <c r="Y100" s="314" t="str">
        <f t="shared" ca="1" si="51"/>
        <v/>
      </c>
      <c r="Z100" s="315" t="str">
        <f t="shared" ca="1" si="52"/>
        <v/>
      </c>
      <c r="AA100" s="316" t="str">
        <f t="shared" ca="1" si="53"/>
        <v/>
      </c>
      <c r="AC100" s="310" t="e">
        <f t="shared" ca="1" si="54"/>
        <v>#N/A</v>
      </c>
      <c r="AD100" s="323" t="e">
        <f t="shared" ca="1" si="55"/>
        <v>#N/A</v>
      </c>
      <c r="AE100" s="324">
        <f t="shared" ca="1" si="34"/>
        <v>719.58616845057782</v>
      </c>
      <c r="AG100" s="306">
        <f t="shared" ca="1" si="56"/>
        <v>-26.777533090719455</v>
      </c>
      <c r="AH100" s="304">
        <f t="shared" ca="1" si="57"/>
        <v>-17.319829063857767</v>
      </c>
    </row>
    <row r="101" spans="1:34" x14ac:dyDescent="0.2">
      <c r="A101" s="347">
        <f t="shared" ca="1" si="35"/>
        <v>0.01</v>
      </c>
      <c r="B101" s="304">
        <f t="shared" ca="1" si="36"/>
        <v>5.569999999999979</v>
      </c>
      <c r="D101" s="306">
        <f t="shared" ca="1" si="37"/>
        <v>-4.7386219710598176</v>
      </c>
      <c r="E101" s="307">
        <f t="shared" ca="1" si="38"/>
        <v>-27.001318090773459</v>
      </c>
      <c r="F101" s="304">
        <f t="shared" ca="1" si="39"/>
        <v>27.413969373728804</v>
      </c>
      <c r="G101" s="306">
        <f t="shared" ca="1" si="40"/>
        <v>45.14386093733129</v>
      </c>
      <c r="H101" s="307">
        <f t="shared" ca="1" si="41"/>
        <v>163.67999370721537</v>
      </c>
      <c r="I101" s="304">
        <f t="shared" ca="1" si="42"/>
        <v>169.7913676260462</v>
      </c>
      <c r="J101" s="306">
        <f t="shared" ca="1" si="43"/>
        <v>173.0519518226458</v>
      </c>
      <c r="K101" s="307">
        <f t="shared" ca="1" si="44"/>
        <v>721.22431845355447</v>
      </c>
      <c r="L101" s="304">
        <f t="shared" ca="1" si="29"/>
        <v>741.69501519049015</v>
      </c>
      <c r="M101" s="306">
        <f t="shared" ca="1" si="45"/>
        <v>1.301681298625148</v>
      </c>
      <c r="N101" s="304">
        <f t="shared" ca="1" si="46"/>
        <v>74.580844682329143</v>
      </c>
      <c r="P101" s="310">
        <f t="shared" ca="1" si="47"/>
        <v>11</v>
      </c>
      <c r="Q101" s="304">
        <f t="shared" ca="1" si="48"/>
        <v>14.375000000002567</v>
      </c>
      <c r="R101" s="306">
        <f t="shared" ca="1" si="49"/>
        <v>7.6295282224107972E-3</v>
      </c>
      <c r="S101" s="307">
        <f t="shared" ca="1" si="50"/>
        <v>2.9797013795282212</v>
      </c>
      <c r="T101" s="304">
        <f t="shared" ca="1" si="30"/>
        <v>29.230870533171853</v>
      </c>
      <c r="U101" s="311">
        <f t="shared" ca="1" si="31"/>
        <v>0</v>
      </c>
      <c r="V101" s="306">
        <f t="shared" ca="1" si="32"/>
        <v>1.1397251362634213</v>
      </c>
      <c r="W101" s="304">
        <f t="shared" ca="1" si="33"/>
        <v>67.282823622246013</v>
      </c>
      <c r="Y101" s="314" t="str">
        <f t="shared" ca="1" si="51"/>
        <v/>
      </c>
      <c r="Z101" s="315" t="str">
        <f t="shared" ca="1" si="52"/>
        <v/>
      </c>
      <c r="AA101" s="316" t="str">
        <f t="shared" ca="1" si="53"/>
        <v/>
      </c>
      <c r="AC101" s="310" t="e">
        <f t="shared" ca="1" si="54"/>
        <v>#N/A</v>
      </c>
      <c r="AD101" s="323" t="e">
        <f t="shared" ca="1" si="55"/>
        <v>#N/A</v>
      </c>
      <c r="AE101" s="324">
        <f t="shared" ca="1" si="34"/>
        <v>721.22431845355447</v>
      </c>
      <c r="AG101" s="306">
        <f t="shared" ca="1" si="56"/>
        <v>-27.289745884840631</v>
      </c>
      <c r="AH101" s="304">
        <f t="shared" ca="1" si="57"/>
        <v>-17.832441108349848</v>
      </c>
    </row>
    <row r="102" spans="1:34" x14ac:dyDescent="0.2">
      <c r="A102" s="347">
        <f t="shared" ca="1" si="35"/>
        <v>0.01</v>
      </c>
      <c r="B102" s="304">
        <f t="shared" ca="1" si="36"/>
        <v>5.5799999999999788</v>
      </c>
      <c r="D102" s="306">
        <f t="shared" ca="1" si="37"/>
        <v>-4.832609549562374</v>
      </c>
      <c r="E102" s="307">
        <f t="shared" ca="1" si="38"/>
        <v>-27.331795527411067</v>
      </c>
      <c r="F102" s="304">
        <f t="shared" ca="1" si="39"/>
        <v>27.755741060377563</v>
      </c>
      <c r="G102" s="306">
        <f t="shared" ca="1" si="40"/>
        <v>45.095534841835665</v>
      </c>
      <c r="H102" s="307">
        <f t="shared" ca="1" si="41"/>
        <v>163.40667575194126</v>
      </c>
      <c r="I102" s="304">
        <f t="shared" ca="1" si="42"/>
        <v>169.51504046240643</v>
      </c>
      <c r="J102" s="306">
        <f t="shared" ca="1" si="43"/>
        <v>173.50314880154164</v>
      </c>
      <c r="K102" s="307">
        <f t="shared" ca="1" si="44"/>
        <v>722.85975180085029</v>
      </c>
      <c r="L102" s="304">
        <f t="shared" ca="1" si="29"/>
        <v>743.3905860431895</v>
      </c>
      <c r="M102" s="306">
        <f t="shared" ca="1" si="45"/>
        <v>1.3015274321997545</v>
      </c>
      <c r="N102" s="304">
        <f t="shared" ca="1" si="46"/>
        <v>74.572028785545342</v>
      </c>
      <c r="P102" s="310">
        <f t="shared" ca="1" si="47"/>
        <v>11</v>
      </c>
      <c r="Q102" s="304">
        <f t="shared" ca="1" si="48"/>
        <v>13.125000000002595</v>
      </c>
      <c r="R102" s="306">
        <f t="shared" ca="1" si="49"/>
        <v>6.9660909856795574E-3</v>
      </c>
      <c r="S102" s="307">
        <f t="shared" ca="1" si="50"/>
        <v>2.9796317186183643</v>
      </c>
      <c r="T102" s="304">
        <f t="shared" ca="1" si="30"/>
        <v>29.230187159646157</v>
      </c>
      <c r="U102" s="311">
        <f t="shared" ca="1" si="31"/>
        <v>0</v>
      </c>
      <c r="V102" s="306">
        <f t="shared" ca="1" si="32"/>
        <v>1.1395385138381695</v>
      </c>
      <c r="W102" s="304">
        <f t="shared" ca="1" si="33"/>
        <v>67.053021519072161</v>
      </c>
      <c r="Y102" s="314" t="str">
        <f t="shared" ca="1" si="51"/>
        <v/>
      </c>
      <c r="Z102" s="315" t="str">
        <f t="shared" ca="1" si="52"/>
        <v/>
      </c>
      <c r="AA102" s="316" t="str">
        <f t="shared" ca="1" si="53"/>
        <v/>
      </c>
      <c r="AC102" s="310" t="e">
        <f t="shared" ca="1" si="54"/>
        <v>#N/A</v>
      </c>
      <c r="AD102" s="323" t="e">
        <f t="shared" ca="1" si="55"/>
        <v>#N/A</v>
      </c>
      <c r="AE102" s="324">
        <f t="shared" ca="1" si="34"/>
        <v>722.85975180085029</v>
      </c>
      <c r="AG102" s="306">
        <f t="shared" ca="1" si="56"/>
        <v>-27.632917026364012</v>
      </c>
      <c r="AH102" s="304">
        <f t="shared" ca="1" si="57"/>
        <v>-18.176012587003889</v>
      </c>
    </row>
    <row r="103" spans="1:34" x14ac:dyDescent="0.2">
      <c r="A103" s="347">
        <f t="shared" ca="1" si="35"/>
        <v>0.01</v>
      </c>
      <c r="B103" s="304">
        <f t="shared" ca="1" si="36"/>
        <v>5.5899999999999785</v>
      </c>
      <c r="D103" s="306">
        <f t="shared" ca="1" si="37"/>
        <v>-4.9264947739495435</v>
      </c>
      <c r="E103" s="307">
        <f t="shared" ca="1" si="38"/>
        <v>-27.661482124424822</v>
      </c>
      <c r="F103" s="304">
        <f t="shared" ca="1" si="39"/>
        <v>28.096760384030507</v>
      </c>
      <c r="G103" s="306">
        <f t="shared" ca="1" si="40"/>
        <v>45.04626989409617</v>
      </c>
      <c r="H103" s="307">
        <f t="shared" ca="1" si="41"/>
        <v>163.13006093069703</v>
      </c>
      <c r="I103" s="304">
        <f t="shared" ca="1" si="42"/>
        <v>169.235289495497</v>
      </c>
      <c r="J103" s="306">
        <f t="shared" ca="1" si="43"/>
        <v>173.95385782522129</v>
      </c>
      <c r="K103" s="307">
        <f t="shared" ca="1" si="44"/>
        <v>724.49243548426352</v>
      </c>
      <c r="L103" s="304">
        <f t="shared" ca="1" si="29"/>
        <v>745.08337367451509</v>
      </c>
      <c r="M103" s="306">
        <f t="shared" ca="1" si="45"/>
        <v>1.3013732254495154</v>
      </c>
      <c r="N103" s="304">
        <f t="shared" ca="1" si="46"/>
        <v>74.563193389584214</v>
      </c>
      <c r="P103" s="310">
        <f t="shared" ca="1" si="47"/>
        <v>11</v>
      </c>
      <c r="Q103" s="304">
        <f t="shared" ca="1" si="48"/>
        <v>11.875000000002622</v>
      </c>
      <c r="R103" s="306">
        <f t="shared" ca="1" si="49"/>
        <v>6.3026537489483158E-3</v>
      </c>
      <c r="S103" s="307">
        <f t="shared" ca="1" si="50"/>
        <v>2.9795686920808748</v>
      </c>
      <c r="T103" s="304">
        <f t="shared" ca="1" si="30"/>
        <v>29.229568869313383</v>
      </c>
      <c r="U103" s="311">
        <f t="shared" ca="1" si="31"/>
        <v>0</v>
      </c>
      <c r="V103" s="306">
        <f t="shared" ca="1" si="32"/>
        <v>1.1393522345619769</v>
      </c>
      <c r="W103" s="304">
        <f t="shared" ca="1" si="33"/>
        <v>66.820963755758555</v>
      </c>
      <c r="Y103" s="314" t="str">
        <f t="shared" ca="1" si="51"/>
        <v/>
      </c>
      <c r="Z103" s="315" t="str">
        <f t="shared" ca="1" si="52"/>
        <v/>
      </c>
      <c r="AA103" s="316" t="str">
        <f t="shared" ca="1" si="53"/>
        <v/>
      </c>
      <c r="AC103" s="310" t="e">
        <f t="shared" ca="1" si="54"/>
        <v>#N/A</v>
      </c>
      <c r="AD103" s="323" t="e">
        <f t="shared" ca="1" si="55"/>
        <v>#N/A</v>
      </c>
      <c r="AE103" s="324">
        <f t="shared" ca="1" si="34"/>
        <v>724.49243548426352</v>
      </c>
      <c r="AG103" s="306">
        <f t="shared" ca="1" si="56"/>
        <v>-27.975297909346637</v>
      </c>
      <c r="AH103" s="304">
        <f t="shared" ca="1" si="57"/>
        <v>-18.518794906699817</v>
      </c>
    </row>
    <row r="104" spans="1:34" x14ac:dyDescent="0.2">
      <c r="A104" s="347">
        <f t="shared" ca="1" si="35"/>
        <v>0.01</v>
      </c>
      <c r="B104" s="304">
        <f t="shared" ca="1" si="36"/>
        <v>5.5999999999999783</v>
      </c>
      <c r="D104" s="306">
        <f t="shared" ca="1" si="37"/>
        <v>-5.0202789247042645</v>
      </c>
      <c r="E104" s="307">
        <f t="shared" ca="1" si="38"/>
        <v>-27.990382278077028</v>
      </c>
      <c r="F104" s="304">
        <f t="shared" ca="1" si="39"/>
        <v>28.437030445437131</v>
      </c>
      <c r="G104" s="306">
        <f t="shared" ca="1" si="40"/>
        <v>44.996067104849125</v>
      </c>
      <c r="H104" s="307">
        <f t="shared" ca="1" si="41"/>
        <v>162.85015710791626</v>
      </c>
      <c r="I104" s="304">
        <f t="shared" ca="1" si="42"/>
        <v>168.95212258204126</v>
      </c>
      <c r="J104" s="306">
        <f t="shared" ca="1" si="43"/>
        <v>174.404069510216</v>
      </c>
      <c r="K104" s="307">
        <f t="shared" ca="1" si="44"/>
        <v>726.12233657445654</v>
      </c>
      <c r="L104" s="304">
        <f t="shared" ca="1" si="29"/>
        <v>746.77334388291638</v>
      </c>
      <c r="M104" s="306">
        <f t="shared" ca="1" si="45"/>
        <v>1.3012186739358915</v>
      </c>
      <c r="N104" s="304">
        <f t="shared" ca="1" si="46"/>
        <v>74.554338240136204</v>
      </c>
      <c r="P104" s="310">
        <f t="shared" ca="1" si="47"/>
        <v>11</v>
      </c>
      <c r="Q104" s="304">
        <f t="shared" ca="1" si="48"/>
        <v>10.62500000000265</v>
      </c>
      <c r="R104" s="306">
        <f t="shared" ca="1" si="49"/>
        <v>5.6392165122170759E-3</v>
      </c>
      <c r="S104" s="307">
        <f t="shared" ca="1" si="50"/>
        <v>2.9795122999157528</v>
      </c>
      <c r="T104" s="304">
        <f t="shared" ca="1" si="30"/>
        <v>29.229015662173538</v>
      </c>
      <c r="U104" s="311">
        <f t="shared" ca="1" si="31"/>
        <v>0</v>
      </c>
      <c r="V104" s="306">
        <f t="shared" ca="1" si="32"/>
        <v>1.1391663020357603</v>
      </c>
      <c r="W104" s="304">
        <f t="shared" ca="1" si="33"/>
        <v>66.586671093091283</v>
      </c>
      <c r="Y104" s="314" t="str">
        <f t="shared" ca="1" si="51"/>
        <v/>
      </c>
      <c r="Z104" s="315" t="str">
        <f t="shared" ca="1" si="52"/>
        <v/>
      </c>
      <c r="AA104" s="316" t="str">
        <f t="shared" ca="1" si="53"/>
        <v/>
      </c>
      <c r="AC104" s="310" t="e">
        <f t="shared" ca="1" si="54"/>
        <v>#N/A</v>
      </c>
      <c r="AD104" s="323" t="e">
        <f t="shared" ca="1" si="55"/>
        <v>#N/A</v>
      </c>
      <c r="AE104" s="324">
        <f t="shared" ca="1" si="34"/>
        <v>726.12233657445654</v>
      </c>
      <c r="AG104" s="306">
        <f t="shared" ca="1" si="56"/>
        <v>-28.316893126534282</v>
      </c>
      <c r="AH104" s="304">
        <f t="shared" ca="1" si="57"/>
        <v>-18.860792673131396</v>
      </c>
    </row>
    <row r="105" spans="1:34" x14ac:dyDescent="0.2">
      <c r="A105" s="347">
        <f t="shared" ca="1" si="35"/>
        <v>0.01</v>
      </c>
      <c r="B105" s="304">
        <f t="shared" ca="1" si="36"/>
        <v>5.6099999999999781</v>
      </c>
      <c r="D105" s="306">
        <f t="shared" ca="1" si="37"/>
        <v>-5.1139632987883736</v>
      </c>
      <c r="E105" s="307">
        <f t="shared" ca="1" si="38"/>
        <v>-28.318500414296302</v>
      </c>
      <c r="F105" s="304">
        <f t="shared" ca="1" si="39"/>
        <v>28.776554455595519</v>
      </c>
      <c r="G105" s="306">
        <f t="shared" ca="1" si="40"/>
        <v>44.944927471861241</v>
      </c>
      <c r="H105" s="307">
        <f t="shared" ca="1" si="41"/>
        <v>162.56697210377331</v>
      </c>
      <c r="I105" s="304">
        <f t="shared" ca="1" si="42"/>
        <v>168.66554753250551</v>
      </c>
      <c r="J105" s="306">
        <f t="shared" ca="1" si="43"/>
        <v>174.85377448309956</v>
      </c>
      <c r="K105" s="307">
        <f t="shared" ca="1" si="44"/>
        <v>727.74942222051504</v>
      </c>
      <c r="L105" s="304">
        <f t="shared" ca="1" si="29"/>
        <v>748.46046254513681</v>
      </c>
      <c r="M105" s="306">
        <f t="shared" ca="1" si="45"/>
        <v>1.3010637731817529</v>
      </c>
      <c r="N105" s="304">
        <f t="shared" ca="1" si="46"/>
        <v>74.545463080680662</v>
      </c>
      <c r="P105" s="310">
        <f t="shared" ca="1" si="47"/>
        <v>12</v>
      </c>
      <c r="Q105" s="304">
        <f t="shared" ca="1" si="48"/>
        <v>9.3750000000026787</v>
      </c>
      <c r="R105" s="306">
        <f t="shared" ca="1" si="49"/>
        <v>4.975779275485836E-3</v>
      </c>
      <c r="S105" s="307">
        <f t="shared" ca="1" si="50"/>
        <v>2.9794625421229979</v>
      </c>
      <c r="T105" s="304">
        <f t="shared" ca="1" si="30"/>
        <v>29.228527538226611</v>
      </c>
      <c r="U105" s="311">
        <f t="shared" ca="1" si="31"/>
        <v>0</v>
      </c>
      <c r="V105" s="306">
        <f t="shared" ca="1" si="32"/>
        <v>1.1389807198494564</v>
      </c>
      <c r="W105" s="304">
        <f t="shared" ca="1" si="33"/>
        <v>66.35016435698634</v>
      </c>
      <c r="Y105" s="314" t="str">
        <f t="shared" ca="1" si="51"/>
        <v/>
      </c>
      <c r="Z105" s="315" t="str">
        <f t="shared" ca="1" si="52"/>
        <v/>
      </c>
      <c r="AA105" s="316" t="str">
        <f t="shared" ca="1" si="53"/>
        <v/>
      </c>
      <c r="AC105" s="310" t="e">
        <f t="shared" ca="1" si="54"/>
        <v>#N/A</v>
      </c>
      <c r="AD105" s="323" t="e">
        <f t="shared" ca="1" si="55"/>
        <v>#N/A</v>
      </c>
      <c r="AE105" s="324">
        <f t="shared" ca="1" si="34"/>
        <v>727.74942222051504</v>
      </c>
      <c r="AG105" s="306">
        <f t="shared" ca="1" si="56"/>
        <v>-28.657707303686863</v>
      </c>
      <c r="AH105" s="304">
        <f t="shared" ca="1" si="57"/>
        <v>-19.202010525134099</v>
      </c>
    </row>
    <row r="106" spans="1:34" x14ac:dyDescent="0.2">
      <c r="A106" s="347">
        <f t="shared" ca="1" si="35"/>
        <v>0.01</v>
      </c>
      <c r="B106" s="304">
        <f t="shared" ca="1" si="36"/>
        <v>5.6199999999999779</v>
      </c>
      <c r="D106" s="306">
        <f t="shared" ca="1" si="37"/>
        <v>-5.2075492095830498</v>
      </c>
      <c r="E106" s="307">
        <f t="shared" ca="1" si="38"/>
        <v>-28.64584098813669</v>
      </c>
      <c r="F106" s="304">
        <f t="shared" ca="1" si="39"/>
        <v>29.115335730295833</v>
      </c>
      <c r="G106" s="306">
        <f t="shared" ca="1" si="40"/>
        <v>44.89285197976541</v>
      </c>
      <c r="H106" s="307">
        <f t="shared" ca="1" si="41"/>
        <v>162.28051369389195</v>
      </c>
      <c r="I106" s="304">
        <f t="shared" ca="1" si="42"/>
        <v>168.37557211077439</v>
      </c>
      <c r="J106" s="306">
        <f t="shared" ca="1" si="43"/>
        <v>175.30296338035768</v>
      </c>
      <c r="K106" s="307">
        <f t="shared" ca="1" si="44"/>
        <v>729.37365964950334</v>
      </c>
      <c r="L106" s="304">
        <f t="shared" ca="1" si="29"/>
        <v>750.1446956157489</v>
      </c>
      <c r="M106" s="306">
        <f t="shared" ca="1" si="45"/>
        <v>1.3009085186705731</v>
      </c>
      <c r="N106" s="304">
        <f t="shared" ca="1" si="46"/>
        <v>74.5365676524397</v>
      </c>
      <c r="P106" s="310">
        <f t="shared" ca="1" si="47"/>
        <v>12</v>
      </c>
      <c r="Q106" s="304">
        <f t="shared" ca="1" si="48"/>
        <v>8.1250000000027072</v>
      </c>
      <c r="R106" s="306">
        <f t="shared" ca="1" si="49"/>
        <v>4.3123420387545953E-3</v>
      </c>
      <c r="S106" s="307">
        <f t="shared" ca="1" si="50"/>
        <v>2.9794194187026104</v>
      </c>
      <c r="T106" s="304">
        <f t="shared" ca="1" si="30"/>
        <v>29.228104497472611</v>
      </c>
      <c r="U106" s="311">
        <f t="shared" ca="1" si="31"/>
        <v>0</v>
      </c>
      <c r="V106" s="306">
        <f t="shared" ca="1" si="32"/>
        <v>1.1387954915820888</v>
      </c>
      <c r="W106" s="304">
        <f t="shared" ca="1" si="33"/>
        <v>66.111464437229145</v>
      </c>
      <c r="Y106" s="314" t="str">
        <f t="shared" ca="1" si="51"/>
        <v/>
      </c>
      <c r="Z106" s="315" t="str">
        <f t="shared" ca="1" si="52"/>
        <v/>
      </c>
      <c r="AA106" s="316" t="str">
        <f t="shared" ca="1" si="53"/>
        <v/>
      </c>
      <c r="AC106" s="310" t="e">
        <f t="shared" ca="1" si="54"/>
        <v>#N/A</v>
      </c>
      <c r="AD106" s="323" t="e">
        <f t="shared" ca="1" si="55"/>
        <v>#N/A</v>
      </c>
      <c r="AE106" s="324">
        <f t="shared" ca="1" si="34"/>
        <v>729.37365964950334</v>
      </c>
      <c r="AG106" s="306">
        <f t="shared" ca="1" si="56"/>
        <v>-28.997745099044696</v>
      </c>
      <c r="AH106" s="304">
        <f t="shared" ca="1" si="57"/>
        <v>-19.542453134153838</v>
      </c>
    </row>
    <row r="107" spans="1:34" x14ac:dyDescent="0.2">
      <c r="A107" s="347">
        <f t="shared" ca="1" si="35"/>
        <v>0.01</v>
      </c>
      <c r="B107" s="304">
        <f t="shared" ca="1" si="36"/>
        <v>5.6299999999999777</v>
      </c>
      <c r="D107" s="306">
        <f t="shared" ca="1" si="37"/>
        <v>-5.3010379868325721</v>
      </c>
      <c r="E107" s="307">
        <f t="shared" ca="1" si="38"/>
        <v>-28.972408483242901</v>
      </c>
      <c r="F107" s="304">
        <f t="shared" ca="1" si="39"/>
        <v>29.45337768504195</v>
      </c>
      <c r="G107" s="306">
        <f t="shared" ca="1" si="40"/>
        <v>44.839841599897085</v>
      </c>
      <c r="H107" s="307">
        <f t="shared" ca="1" si="41"/>
        <v>161.9907896090595</v>
      </c>
      <c r="I107" s="304">
        <f t="shared" ca="1" si="42"/>
        <v>168.08220403383115</v>
      </c>
      <c r="J107" s="306">
        <f t="shared" ca="1" si="43"/>
        <v>175.751626848256</v>
      </c>
      <c r="K107" s="307">
        <f t="shared" ca="1" si="44"/>
        <v>730.9950161660181</v>
      </c>
      <c r="L107" s="304">
        <f t="shared" ca="1" si="29"/>
        <v>751.82600912668988</v>
      </c>
      <c r="M107" s="306">
        <f t="shared" ca="1" si="45"/>
        <v>1.3007529058456118</v>
      </c>
      <c r="N107" s="304">
        <f t="shared" ca="1" si="46"/>
        <v>74.527651694331297</v>
      </c>
      <c r="P107" s="310">
        <f t="shared" ca="1" si="47"/>
        <v>12</v>
      </c>
      <c r="Q107" s="304">
        <f t="shared" ca="1" si="48"/>
        <v>6.8750000000027338</v>
      </c>
      <c r="R107" s="306">
        <f t="shared" ca="1" si="49"/>
        <v>3.6489048020233545E-3</v>
      </c>
      <c r="S107" s="307">
        <f t="shared" ca="1" si="50"/>
        <v>2.97938292965459</v>
      </c>
      <c r="T107" s="304">
        <f t="shared" ca="1" si="30"/>
        <v>29.227746539911529</v>
      </c>
      <c r="U107" s="311">
        <f t="shared" ca="1" si="31"/>
        <v>0</v>
      </c>
      <c r="V107" s="306">
        <f t="shared" ca="1" si="32"/>
        <v>1.1386106208018396</v>
      </c>
      <c r="W107" s="304">
        <f t="shared" ca="1" si="33"/>
        <v>65.870592286237866</v>
      </c>
      <c r="Y107" s="314" t="str">
        <f t="shared" ca="1" si="51"/>
        <v/>
      </c>
      <c r="Z107" s="315" t="str">
        <f t="shared" ca="1" si="52"/>
        <v/>
      </c>
      <c r="AA107" s="316" t="str">
        <f t="shared" ca="1" si="53"/>
        <v/>
      </c>
      <c r="AC107" s="310" t="e">
        <f t="shared" ca="1" si="54"/>
        <v>#N/A</v>
      </c>
      <c r="AD107" s="323" t="e">
        <f t="shared" ca="1" si="55"/>
        <v>#N/A</v>
      </c>
      <c r="AE107" s="324">
        <f t="shared" ca="1" si="34"/>
        <v>730.9950161660181</v>
      </c>
      <c r="AG107" s="306">
        <f t="shared" ca="1" si="56"/>
        <v>-29.337011202801619</v>
      </c>
      <c r="AH107" s="304">
        <f t="shared" ca="1" si="57"/>
        <v>-19.882125203722602</v>
      </c>
    </row>
    <row r="108" spans="1:34" x14ac:dyDescent="0.2">
      <c r="A108" s="347">
        <f t="shared" ca="1" si="35"/>
        <v>0.01</v>
      </c>
      <c r="B108" s="304">
        <f t="shared" ca="1" si="36"/>
        <v>5.6399999999999775</v>
      </c>
      <c r="D108" s="306">
        <f t="shared" ca="1" si="37"/>
        <v>-5.3944309765913552</v>
      </c>
      <c r="E108" s="307">
        <f t="shared" ca="1" si="38"/>
        <v>-29.298207411321656</v>
      </c>
      <c r="F108" s="304">
        <f t="shared" ca="1" si="39"/>
        <v>29.790683830319026</v>
      </c>
      <c r="G108" s="306">
        <f t="shared" ca="1" si="40"/>
        <v>44.785897290131174</v>
      </c>
      <c r="H108" s="307">
        <f t="shared" ca="1" si="41"/>
        <v>161.69780753494629</v>
      </c>
      <c r="I108" s="304">
        <f t="shared" ca="1" si="42"/>
        <v>167.78545097144362</v>
      </c>
      <c r="J108" s="306">
        <f t="shared" ca="1" si="43"/>
        <v>176.19975554270613</v>
      </c>
      <c r="K108" s="307">
        <f t="shared" ca="1" si="44"/>
        <v>732.61345915173808</v>
      </c>
      <c r="L108" s="304">
        <f t="shared" ca="1" si="29"/>
        <v>753.50436918679168</v>
      </c>
      <c r="M108" s="306">
        <f t="shared" ca="1" si="45"/>
        <v>1.300596930109081</v>
      </c>
      <c r="N108" s="304">
        <f t="shared" ca="1" si="46"/>
        <v>74.518714942921648</v>
      </c>
      <c r="P108" s="310">
        <f t="shared" ca="1" si="47"/>
        <v>12</v>
      </c>
      <c r="Q108" s="304">
        <f t="shared" ca="1" si="48"/>
        <v>5.6250000000027613</v>
      </c>
      <c r="R108" s="306">
        <f t="shared" ca="1" si="49"/>
        <v>2.9854675652921138E-3</v>
      </c>
      <c r="S108" s="307">
        <f t="shared" ca="1" si="50"/>
        <v>2.979353074978937</v>
      </c>
      <c r="T108" s="304">
        <f t="shared" ca="1" si="30"/>
        <v>29.227453665543372</v>
      </c>
      <c r="U108" s="311">
        <f t="shared" ca="1" si="31"/>
        <v>0</v>
      </c>
      <c r="V108" s="306">
        <f t="shared" ca="1" si="32"/>
        <v>1.1384261110661158</v>
      </c>
      <c r="W108" s="304">
        <f t="shared" ca="1" si="33"/>
        <v>65.627568917850297</v>
      </c>
      <c r="Y108" s="314" t="str">
        <f t="shared" ca="1" si="51"/>
        <v/>
      </c>
      <c r="Z108" s="315" t="str">
        <f t="shared" ca="1" si="52"/>
        <v/>
      </c>
      <c r="AA108" s="316" t="str">
        <f t="shared" ca="1" si="53"/>
        <v/>
      </c>
      <c r="AC108" s="310" t="e">
        <f t="shared" ca="1" si="54"/>
        <v>#N/A</v>
      </c>
      <c r="AD108" s="323" t="e">
        <f t="shared" ca="1" si="55"/>
        <v>#N/A</v>
      </c>
      <c r="AE108" s="324">
        <f t="shared" ca="1" si="34"/>
        <v>732.61345915173808</v>
      </c>
      <c r="AG108" s="306">
        <f t="shared" ca="1" si="56"/>
        <v>-29.675510336584903</v>
      </c>
      <c r="AH108" s="304">
        <f t="shared" ca="1" si="57"/>
        <v>-20.221031468940961</v>
      </c>
    </row>
    <row r="109" spans="1:34" x14ac:dyDescent="0.2">
      <c r="A109" s="347">
        <f t="shared" ca="1" si="35"/>
        <v>0.01</v>
      </c>
      <c r="B109" s="304">
        <f t="shared" ca="1" si="36"/>
        <v>5.6499999999999773</v>
      </c>
      <c r="D109" s="306">
        <f t="shared" ca="1" si="37"/>
        <v>-5.4877295411743567</v>
      </c>
      <c r="E109" s="307">
        <f t="shared" ca="1" si="38"/>
        <v>-29.623242311619016</v>
      </c>
      <c r="F109" s="304">
        <f t="shared" ca="1" si="39"/>
        <v>30.127257767177763</v>
      </c>
      <c r="G109" s="306">
        <f t="shared" ca="1" si="40"/>
        <v>44.731019994719432</v>
      </c>
      <c r="H109" s="307">
        <f t="shared" ca="1" si="41"/>
        <v>161.40157511183011</v>
      </c>
      <c r="I109" s="304">
        <f t="shared" ca="1" si="42"/>
        <v>167.48532054585479</v>
      </c>
      <c r="J109" s="306">
        <f t="shared" ca="1" si="43"/>
        <v>176.64734012913038</v>
      </c>
      <c r="K109" s="307">
        <f t="shared" ca="1" si="44"/>
        <v>734.22895606497195</v>
      </c>
      <c r="L109" s="304">
        <f t="shared" ca="1" si="29"/>
        <v>755.17974198130821</v>
      </c>
      <c r="M109" s="306">
        <f t="shared" ca="1" si="45"/>
        <v>1.3004405868212974</v>
      </c>
      <c r="N109" s="304">
        <f t="shared" ca="1" si="46"/>
        <v>74.50975713237645</v>
      </c>
      <c r="P109" s="310">
        <f t="shared" ca="1" si="47"/>
        <v>12</v>
      </c>
      <c r="Q109" s="304">
        <f t="shared" ca="1" si="48"/>
        <v>4.3750000000027898</v>
      </c>
      <c r="R109" s="306">
        <f t="shared" ca="1" si="49"/>
        <v>2.3220303285608739E-3</v>
      </c>
      <c r="S109" s="307">
        <f t="shared" ca="1" si="50"/>
        <v>2.9793298546756515</v>
      </c>
      <c r="T109" s="304">
        <f t="shared" ca="1" si="30"/>
        <v>29.227225874368141</v>
      </c>
      <c r="U109" s="311">
        <f t="shared" ca="1" si="31"/>
        <v>0</v>
      </c>
      <c r="V109" s="306">
        <f t="shared" ca="1" si="32"/>
        <v>1.1382419659216216</v>
      </c>
      <c r="W109" s="304">
        <f t="shared" ca="1" si="33"/>
        <v>65.382415406134214</v>
      </c>
      <c r="Y109" s="314" t="str">
        <f t="shared" ca="1" si="51"/>
        <v/>
      </c>
      <c r="Z109" s="315" t="str">
        <f t="shared" ca="1" si="52"/>
        <v/>
      </c>
      <c r="AA109" s="316" t="str">
        <f t="shared" ca="1" si="53"/>
        <v/>
      </c>
      <c r="AC109" s="310" t="e">
        <f t="shared" ca="1" si="54"/>
        <v>#N/A</v>
      </c>
      <c r="AD109" s="323" t="e">
        <f t="shared" ca="1" si="55"/>
        <v>#N/A</v>
      </c>
      <c r="AE109" s="324">
        <f t="shared" ca="1" si="34"/>
        <v>734.22895606497195</v>
      </c>
      <c r="AG109" s="306">
        <f t="shared" ca="1" si="56"/>
        <v>-30.013247252941927</v>
      </c>
      <c r="AH109" s="304">
        <f t="shared" ca="1" si="57"/>
        <v>-20.55917669596737</v>
      </c>
    </row>
    <row r="110" spans="1:34" x14ac:dyDescent="0.2">
      <c r="A110" s="347">
        <f t="shared" ca="1" si="35"/>
        <v>0.01</v>
      </c>
      <c r="B110" s="304">
        <f t="shared" ca="1" si="36"/>
        <v>5.659999999999977</v>
      </c>
      <c r="D110" s="306">
        <f t="shared" ca="1" si="37"/>
        <v>-5.5809350591108755</v>
      </c>
      <c r="E110" s="307">
        <f t="shared" ca="1" si="38"/>
        <v>-29.947517750403811</v>
      </c>
      <c r="F110" s="304">
        <f t="shared" ca="1" si="39"/>
        <v>30.463103183109304</v>
      </c>
      <c r="G110" s="306">
        <f t="shared" ca="1" si="40"/>
        <v>44.67521064412832</v>
      </c>
      <c r="H110" s="307">
        <f t="shared" ca="1" si="41"/>
        <v>161.10209993432608</v>
      </c>
      <c r="I110" s="304">
        <f t="shared" ca="1" si="42"/>
        <v>167.18182033147869</v>
      </c>
      <c r="J110" s="306">
        <f t="shared" ca="1" si="43"/>
        <v>177.09437128232463</v>
      </c>
      <c r="K110" s="307">
        <f t="shared" ca="1" si="44"/>
        <v>735.84147444020277</v>
      </c>
      <c r="L110" s="304">
        <f t="shared" ca="1" si="29"/>
        <v>756.85209377144054</v>
      </c>
      <c r="M110" s="306">
        <f t="shared" ca="1" si="45"/>
        <v>1.3002838712998195</v>
      </c>
      <c r="N110" s="304">
        <f t="shared" ca="1" si="46"/>
        <v>74.500777994411564</v>
      </c>
      <c r="P110" s="310">
        <f t="shared" ca="1" si="47"/>
        <v>12</v>
      </c>
      <c r="Q110" s="304">
        <f t="shared" ca="1" si="48"/>
        <v>3.1250000000028173</v>
      </c>
      <c r="R110" s="306">
        <f t="shared" ca="1" si="49"/>
        <v>1.6585930918296332E-3</v>
      </c>
      <c r="S110" s="307">
        <f t="shared" ca="1" si="50"/>
        <v>2.979313268744733</v>
      </c>
      <c r="T110" s="304">
        <f t="shared" ca="1" si="30"/>
        <v>29.227063166385832</v>
      </c>
      <c r="U110" s="311">
        <f t="shared" ca="1" si="31"/>
        <v>0</v>
      </c>
      <c r="V110" s="306">
        <f t="shared" ca="1" si="32"/>
        <v>1.1380581889044286</v>
      </c>
      <c r="W110" s="304">
        <f t="shared" ca="1" si="33"/>
        <v>65.135152884221327</v>
      </c>
      <c r="Y110" s="314" t="str">
        <f t="shared" ca="1" si="51"/>
        <v/>
      </c>
      <c r="Z110" s="315" t="str">
        <f t="shared" ca="1" si="52"/>
        <v/>
      </c>
      <c r="AA110" s="316" t="str">
        <f t="shared" ca="1" si="53"/>
        <v/>
      </c>
      <c r="AC110" s="310" t="e">
        <f t="shared" ca="1" si="54"/>
        <v>#N/A</v>
      </c>
      <c r="AD110" s="323" t="e">
        <f t="shared" ca="1" si="55"/>
        <v>#N/A</v>
      </c>
      <c r="AE110" s="324">
        <f t="shared" ca="1" si="34"/>
        <v>735.84147444020277</v>
      </c>
      <c r="AG110" s="306">
        <f t="shared" ca="1" si="56"/>
        <v>-30.350226734833651</v>
      </c>
      <c r="AH110" s="304">
        <f t="shared" ca="1" si="57"/>
        <v>-20.896565681514307</v>
      </c>
    </row>
    <row r="111" spans="1:34" x14ac:dyDescent="0.2">
      <c r="A111" s="347">
        <f t="shared" ca="1" si="35"/>
        <v>0.01</v>
      </c>
      <c r="B111" s="304">
        <f t="shared" ca="1" si="36"/>
        <v>5.6699999999999768</v>
      </c>
      <c r="D111" s="306">
        <f t="shared" ca="1" si="37"/>
        <v>-5.6740489251017596</v>
      </c>
      <c r="E111" s="307">
        <f t="shared" ca="1" si="38"/>
        <v>-30.271038320457031</v>
      </c>
      <c r="F111" s="304">
        <f t="shared" ca="1" si="39"/>
        <v>30.798223848186868</v>
      </c>
      <c r="G111" s="306">
        <f t="shared" ca="1" si="40"/>
        <v>44.618470154877301</v>
      </c>
      <c r="H111" s="307">
        <f t="shared" ca="1" si="41"/>
        <v>160.79938955112149</v>
      </c>
      <c r="I111" s="304">
        <f t="shared" ca="1" si="42"/>
        <v>166.8749578546014</v>
      </c>
      <c r="J111" s="306">
        <f t="shared" ca="1" si="43"/>
        <v>177.54083968631966</v>
      </c>
      <c r="K111" s="307">
        <f t="shared" ca="1" si="44"/>
        <v>737.45098188763006</v>
      </c>
      <c r="L111" s="304">
        <f t="shared" ca="1" si="29"/>
        <v>758.5213908938581</v>
      </c>
      <c r="M111" s="306">
        <f t="shared" ca="1" si="45"/>
        <v>1.3001267788185695</v>
      </c>
      <c r="N111" s="304">
        <f t="shared" ca="1" si="46"/>
        <v>74.491777258242706</v>
      </c>
      <c r="P111" s="310">
        <f t="shared" ca="1" si="47"/>
        <v>12</v>
      </c>
      <c r="Q111" s="304">
        <f t="shared" ca="1" si="48"/>
        <v>1.8750000000028457</v>
      </c>
      <c r="R111" s="306">
        <f t="shared" ca="1" si="49"/>
        <v>9.9515585509839309E-4</v>
      </c>
      <c r="S111" s="307">
        <f t="shared" ca="1" si="50"/>
        <v>2.979303317186182</v>
      </c>
      <c r="T111" s="304">
        <f t="shared" ca="1" si="30"/>
        <v>29.226965541596446</v>
      </c>
      <c r="U111" s="311">
        <f t="shared" ca="1" si="31"/>
        <v>0</v>
      </c>
      <c r="V111" s="306">
        <f t="shared" ca="1" si="32"/>
        <v>1.137874783540044</v>
      </c>
      <c r="W111" s="304">
        <f t="shared" ca="1" si="33"/>
        <v>64.885802543164417</v>
      </c>
      <c r="Y111" s="314" t="str">
        <f t="shared" ca="1" si="51"/>
        <v/>
      </c>
      <c r="Z111" s="315" t="str">
        <f t="shared" ca="1" si="52"/>
        <v/>
      </c>
      <c r="AA111" s="316" t="str">
        <f t="shared" ca="1" si="53"/>
        <v/>
      </c>
      <c r="AC111" s="310" t="e">
        <f t="shared" ca="1" si="54"/>
        <v>#N/A</v>
      </c>
      <c r="AD111" s="323" t="e">
        <f t="shared" ca="1" si="55"/>
        <v>#N/A</v>
      </c>
      <c r="AE111" s="324">
        <f t="shared" ca="1" si="34"/>
        <v>737.45098188763006</v>
      </c>
      <c r="AG111" s="306">
        <f t="shared" ca="1" si="56"/>
        <v>-30.68645359513485</v>
      </c>
      <c r="AH111" s="304">
        <f t="shared" ca="1" si="57"/>
        <v>-21.233203252351242</v>
      </c>
    </row>
    <row r="112" spans="1:34" x14ac:dyDescent="0.2">
      <c r="A112" s="347">
        <f t="shared" ca="1" si="35"/>
        <v>0.01</v>
      </c>
      <c r="B112" s="304">
        <f t="shared" ca="1" si="36"/>
        <v>5.6799999999999766</v>
      </c>
      <c r="D112" s="306">
        <f t="shared" ca="1" si="37"/>
        <v>-5.767072549980095</v>
      </c>
      <c r="E112" s="307">
        <f t="shared" ca="1" si="38"/>
        <v>-30.593808640567204</v>
      </c>
      <c r="F112" s="304">
        <f t="shared" ca="1" si="39"/>
        <v>31.13262361145264</v>
      </c>
      <c r="G112" s="306">
        <f t="shared" ca="1" si="40"/>
        <v>44.560799429377496</v>
      </c>
      <c r="H112" s="307">
        <f t="shared" ca="1" si="41"/>
        <v>160.49345146471583</v>
      </c>
      <c r="I112" s="304">
        <f t="shared" ca="1" si="42"/>
        <v>166.56474059308684</v>
      </c>
      <c r="J112" s="306">
        <f t="shared" ca="1" si="43"/>
        <v>177.98673603424092</v>
      </c>
      <c r="K112" s="307">
        <f t="shared" ca="1" si="44"/>
        <v>739.05744609270926</v>
      </c>
      <c r="L112" s="304">
        <f t="shared" ca="1" si="29"/>
        <v>760.18759976021727</v>
      </c>
      <c r="M112" s="306">
        <f t="shared" ca="1" si="45"/>
        <v>1.2999693046069385</v>
      </c>
      <c r="N112" s="304">
        <f t="shared" ca="1" si="46"/>
        <v>74.482754650534105</v>
      </c>
      <c r="P112" s="310">
        <f t="shared" ca="1" si="47"/>
        <v>12</v>
      </c>
      <c r="Q112" s="304">
        <f t="shared" ca="1" si="48"/>
        <v>0.62500000000287237</v>
      </c>
      <c r="R112" s="306">
        <f t="shared" ca="1" si="49"/>
        <v>3.3171861836715213E-4</v>
      </c>
      <c r="S112" s="307">
        <f t="shared" ca="1" si="50"/>
        <v>2.9792999999999985</v>
      </c>
      <c r="T112" s="304">
        <f t="shared" ca="1" si="30"/>
        <v>29.226932999999988</v>
      </c>
      <c r="U112" s="311">
        <f t="shared" ca="1" si="31"/>
        <v>0</v>
      </c>
      <c r="V112" s="306">
        <f t="shared" ca="1" si="32"/>
        <v>1.1376917533434832</v>
      </c>
      <c r="W112" s="304">
        <f t="shared" ca="1" si="33"/>
        <v>64.634385630817945</v>
      </c>
      <c r="Y112" s="314" t="str">
        <f t="shared" ca="1" si="51"/>
        <v/>
      </c>
      <c r="Z112" s="315" t="str">
        <f t="shared" ca="1" si="52"/>
        <v/>
      </c>
      <c r="AA112" s="316" t="str">
        <f t="shared" ca="1" si="53"/>
        <v/>
      </c>
      <c r="AC112" s="310" t="e">
        <f t="shared" ca="1" si="54"/>
        <v>#N/A</v>
      </c>
      <c r="AD112" s="323" t="e">
        <f t="shared" ca="1" si="55"/>
        <v>#N/A</v>
      </c>
      <c r="AE112" s="324">
        <f t="shared" ca="1" si="34"/>
        <v>739.05744609270926</v>
      </c>
      <c r="AG112" s="306">
        <f t="shared" ca="1" si="56"/>
        <v>-31.021932676141123</v>
      </c>
      <c r="AH112" s="304">
        <f t="shared" ca="1" si="57"/>
        <v>-21.569094264814414</v>
      </c>
    </row>
    <row r="113" spans="1:34" x14ac:dyDescent="0.2">
      <c r="A113" s="347">
        <f t="shared" ca="1" si="35"/>
        <v>0.01</v>
      </c>
      <c r="B113" s="304">
        <f t="shared" ca="1" si="36"/>
        <v>5.6899999999999764</v>
      </c>
      <c r="D113" s="306">
        <f t="shared" ca="1" si="37"/>
        <v>-5.8038915567705978</v>
      </c>
      <c r="E113" s="307">
        <f t="shared" ca="1" si="38"/>
        <v>-30.713722549890733</v>
      </c>
      <c r="F113" s="304">
        <f t="shared" ca="1" si="39"/>
        <v>31.257285711885149</v>
      </c>
      <c r="G113" s="306">
        <f t="shared" ca="1" si="40"/>
        <v>44.50276051380979</v>
      </c>
      <c r="H113" s="307">
        <f t="shared" ca="1" si="41"/>
        <v>160.18631423921693</v>
      </c>
      <c r="I113" s="304">
        <f t="shared" ca="1" si="42"/>
        <v>166.25327354038674</v>
      </c>
      <c r="J113" s="306">
        <f t="shared" ca="1" si="43"/>
        <v>178.43205383395684</v>
      </c>
      <c r="K113" s="307">
        <f t="shared" ca="1" si="44"/>
        <v>740.66084492122889</v>
      </c>
      <c r="L113" s="304">
        <f t="shared" ca="1" si="29"/>
        <v>761.85069733828607</v>
      </c>
      <c r="M113" s="306">
        <f t="shared" ca="1" si="45"/>
        <v>1.2998114458405536</v>
      </c>
      <c r="N113" s="304">
        <f t="shared" ca="1" si="46"/>
        <v>74.473710009461101</v>
      </c>
      <c r="P113" s="310">
        <f t="shared" ca="1" si="47"/>
        <v>13</v>
      </c>
      <c r="Q113" s="304">
        <f t="shared" ca="1" si="48"/>
        <v>0</v>
      </c>
      <c r="R113" s="306">
        <f t="shared" ca="1" si="49"/>
        <v>0</v>
      </c>
      <c r="S113" s="307">
        <f t="shared" ca="1" si="50"/>
        <v>2.9792999999999985</v>
      </c>
      <c r="T113" s="304">
        <f t="shared" ca="1" si="30"/>
        <v>29.226932999999988</v>
      </c>
      <c r="U113" s="311">
        <f t="shared" ca="1" si="31"/>
        <v>0</v>
      </c>
      <c r="V113" s="306">
        <f t="shared" ca="1" si="32"/>
        <v>1.1375091006682483</v>
      </c>
      <c r="W113" s="304">
        <f t="shared" ca="1" si="33"/>
        <v>64.382547963313854</v>
      </c>
      <c r="Y113" s="314" t="str">
        <f t="shared" ca="1" si="51"/>
        <v>Fin de propulsion</v>
      </c>
      <c r="Z113" s="315" t="str">
        <f t="shared" ca="1" si="52"/>
        <v/>
      </c>
      <c r="AA113" s="316" t="str">
        <f t="shared" ca="1" si="53"/>
        <v/>
      </c>
      <c r="AC113" s="310" t="e">
        <f t="shared" ca="1" si="54"/>
        <v>#N/A</v>
      </c>
      <c r="AD113" s="323" t="e">
        <f t="shared" ca="1" si="55"/>
        <v>#N/A</v>
      </c>
      <c r="AE113" s="324">
        <f t="shared" ca="1" si="34"/>
        <v>740.66084492122889</v>
      </c>
      <c r="AG113" s="306">
        <f t="shared" ca="1" si="56"/>
        <v>-31.146912416516997</v>
      </c>
      <c r="AH113" s="304">
        <f t="shared" ca="1" si="57"/>
        <v>-21.694487171757789</v>
      </c>
    </row>
    <row r="114" spans="1:34" x14ac:dyDescent="0.2">
      <c r="A114" s="347">
        <f t="shared" ca="1" si="35"/>
        <v>0.01</v>
      </c>
      <c r="B114" s="304">
        <f t="shared" ca="1" si="36"/>
        <v>5.6999999999999762</v>
      </c>
      <c r="D114" s="306">
        <f t="shared" ca="1" si="37"/>
        <v>-5.7845645172014608</v>
      </c>
      <c r="E114" s="307">
        <f t="shared" ca="1" si="38"/>
        <v>-30.63136161422883</v>
      </c>
      <c r="F114" s="304">
        <f t="shared" ca="1" si="39"/>
        <v>31.172768580851422</v>
      </c>
      <c r="G114" s="306">
        <f t="shared" ca="1" si="40"/>
        <v>44.444914868637774</v>
      </c>
      <c r="H114" s="307">
        <f t="shared" ca="1" si="41"/>
        <v>159.88000062307464</v>
      </c>
      <c r="I114" s="304">
        <f t="shared" ca="1" si="42"/>
        <v>165.94265592943486</v>
      </c>
      <c r="J114" s="306">
        <f t="shared" ca="1" si="43"/>
        <v>178.87679221086907</v>
      </c>
      <c r="K114" s="307">
        <f t="shared" ca="1" si="44"/>
        <v>742.26117649554033</v>
      </c>
      <c r="L114" s="304">
        <f t="shared" ca="1" si="29"/>
        <v>763.510681604517</v>
      </c>
      <c r="M114" s="306">
        <f t="shared" ca="1" si="45"/>
        <v>1.2996532016707416</v>
      </c>
      <c r="N114" s="304">
        <f t="shared" ca="1" si="46"/>
        <v>74.464643286398328</v>
      </c>
      <c r="P114" s="310">
        <f t="shared" ca="1" si="47"/>
        <v>13</v>
      </c>
      <c r="Q114" s="304">
        <f t="shared" ca="1" si="48"/>
        <v>0</v>
      </c>
      <c r="R114" s="306">
        <f t="shared" ca="1" si="49"/>
        <v>0</v>
      </c>
      <c r="S114" s="307">
        <f t="shared" ca="1" si="50"/>
        <v>2.9792999999999985</v>
      </c>
      <c r="T114" s="304">
        <f t="shared" ca="1" si="30"/>
        <v>29.226932999999988</v>
      </c>
      <c r="U114" s="311">
        <f t="shared" ca="1" si="31"/>
        <v>0</v>
      </c>
      <c r="V114" s="306">
        <f t="shared" ca="1" si="32"/>
        <v>1.1373268255596558</v>
      </c>
      <c r="W114" s="304">
        <f t="shared" ca="1" si="33"/>
        <v>64.131917564967139</v>
      </c>
      <c r="Y114" s="314" t="str">
        <f t="shared" ca="1" si="51"/>
        <v/>
      </c>
      <c r="Z114" s="315" t="str">
        <f t="shared" ca="1" si="52"/>
        <v/>
      </c>
      <c r="AA114" s="316" t="str">
        <f t="shared" ca="1" si="53"/>
        <v/>
      </c>
      <c r="AC114" s="310" t="e">
        <f t="shared" ca="1" si="54"/>
        <v>#N/A</v>
      </c>
      <c r="AD114" s="323" t="e">
        <f t="shared" ca="1" si="55"/>
        <v>#N/A</v>
      </c>
      <c r="AE114" s="324">
        <f t="shared" ca="1" si="34"/>
        <v>742.26117649554033</v>
      </c>
      <c r="AG114" s="306">
        <f t="shared" ca="1" si="56"/>
        <v>-31.061968865492162</v>
      </c>
      <c r="AH114" s="304">
        <f t="shared" ca="1" si="57"/>
        <v>-21.609958031522133</v>
      </c>
    </row>
    <row r="115" spans="1:34" x14ac:dyDescent="0.2">
      <c r="A115" s="347">
        <f t="shared" ca="1" si="35"/>
        <v>0.01</v>
      </c>
      <c r="B115" s="304">
        <f t="shared" ca="1" si="36"/>
        <v>5.709999999999976</v>
      </c>
      <c r="D115" s="306">
        <f t="shared" ca="1" si="37"/>
        <v>-5.7653281439449628</v>
      </c>
      <c r="E115" s="307">
        <f t="shared" ca="1" si="38"/>
        <v>-30.549395495986964</v>
      </c>
      <c r="F115" s="304">
        <f t="shared" ca="1" si="39"/>
        <v>31.088656673738615</v>
      </c>
      <c r="G115" s="306">
        <f t="shared" ca="1" si="40"/>
        <v>44.387261587198324</v>
      </c>
      <c r="H115" s="307">
        <f t="shared" ca="1" si="41"/>
        <v>159.57450666811476</v>
      </c>
      <c r="I115" s="304">
        <f t="shared" ca="1" si="42"/>
        <v>165.63288372054197</v>
      </c>
      <c r="J115" s="306">
        <f t="shared" ca="1" si="43"/>
        <v>179.32095309314826</v>
      </c>
      <c r="K115" s="307">
        <f t="shared" ca="1" si="44"/>
        <v>743.85844903199632</v>
      </c>
      <c r="L115" s="304">
        <f t="shared" ca="1" si="29"/>
        <v>765.16756100511873</v>
      </c>
      <c r="M115" s="306">
        <f t="shared" ca="1" si="45"/>
        <v>1.299494571245662</v>
      </c>
      <c r="N115" s="304">
        <f t="shared" ca="1" si="46"/>
        <v>74.455554432538904</v>
      </c>
      <c r="P115" s="310">
        <f t="shared" ca="1" si="47"/>
        <v>13</v>
      </c>
      <c r="Q115" s="304">
        <f t="shared" ca="1" si="48"/>
        <v>0</v>
      </c>
      <c r="R115" s="306">
        <f t="shared" ca="1" si="49"/>
        <v>0</v>
      </c>
      <c r="S115" s="307">
        <f t="shared" ca="1" si="50"/>
        <v>2.9792999999999985</v>
      </c>
      <c r="T115" s="304">
        <f t="shared" ca="1" si="30"/>
        <v>29.226932999999988</v>
      </c>
      <c r="U115" s="311">
        <f t="shared" ca="1" si="31"/>
        <v>0</v>
      </c>
      <c r="V115" s="306">
        <f t="shared" ca="1" si="32"/>
        <v>1.1371449269138532</v>
      </c>
      <c r="W115" s="304">
        <f t="shared" ca="1" si="33"/>
        <v>63.88248679900633</v>
      </c>
      <c r="Y115" s="314" t="str">
        <f t="shared" ca="1" si="51"/>
        <v/>
      </c>
      <c r="Z115" s="315" t="str">
        <f t="shared" ca="1" si="52"/>
        <v/>
      </c>
      <c r="AA115" s="316" t="str">
        <f t="shared" ca="1" si="53"/>
        <v/>
      </c>
      <c r="AC115" s="310" t="e">
        <f t="shared" ca="1" si="54"/>
        <v>#N/A</v>
      </c>
      <c r="AD115" s="323" t="e">
        <f t="shared" ca="1" si="55"/>
        <v>#N/A</v>
      </c>
      <c r="AE115" s="324">
        <f t="shared" ca="1" si="34"/>
        <v>743.85844903199632</v>
      </c>
      <c r="AG115" s="306">
        <f t="shared" ca="1" si="56"/>
        <v>-30.977429285368743</v>
      </c>
      <c r="AH115" s="304">
        <f t="shared" ca="1" si="57"/>
        <v>-21.525834110350477</v>
      </c>
    </row>
    <row r="116" spans="1:34" x14ac:dyDescent="0.2">
      <c r="A116" s="347">
        <f t="shared" ca="1" si="35"/>
        <v>0.01</v>
      </c>
      <c r="B116" s="304">
        <f t="shared" ca="1" si="36"/>
        <v>5.7199999999999758</v>
      </c>
      <c r="D116" s="306">
        <f t="shared" ca="1" si="37"/>
        <v>-5.7461818598626531</v>
      </c>
      <c r="E116" s="307">
        <f t="shared" ca="1" si="38"/>
        <v>-30.467821697595056</v>
      </c>
      <c r="F116" s="304">
        <f t="shared" ca="1" si="39"/>
        <v>31.004947427193915</v>
      </c>
      <c r="G116" s="306">
        <f t="shared" ca="1" si="40"/>
        <v>44.329799768599699</v>
      </c>
      <c r="H116" s="307">
        <f t="shared" ca="1" si="41"/>
        <v>159.26982845113881</v>
      </c>
      <c r="I116" s="304">
        <f t="shared" ca="1" si="42"/>
        <v>165.32395289969125</v>
      </c>
      <c r="J116" s="306">
        <f t="shared" ca="1" si="43"/>
        <v>179.76453839992726</v>
      </c>
      <c r="K116" s="307">
        <f t="shared" ca="1" si="44"/>
        <v>745.45267070759257</v>
      </c>
      <c r="L116" s="304">
        <f t="shared" ca="1" si="29"/>
        <v>766.8213439460468</v>
      </c>
      <c r="M116" s="306">
        <f t="shared" ca="1" si="45"/>
        <v>1.2993355537102944</v>
      </c>
      <c r="N116" s="304">
        <f t="shared" ca="1" si="46"/>
        <v>74.446443398893763</v>
      </c>
      <c r="P116" s="310">
        <f t="shared" ca="1" si="47"/>
        <v>13</v>
      </c>
      <c r="Q116" s="304">
        <f t="shared" ca="1" si="48"/>
        <v>0</v>
      </c>
      <c r="R116" s="306">
        <f t="shared" ca="1" si="49"/>
        <v>0</v>
      </c>
      <c r="S116" s="307">
        <f t="shared" ca="1" si="50"/>
        <v>2.9792999999999985</v>
      </c>
      <c r="T116" s="304">
        <f t="shared" ca="1" si="30"/>
        <v>29.226932999999988</v>
      </c>
      <c r="U116" s="311">
        <f t="shared" ca="1" si="31"/>
        <v>0</v>
      </c>
      <c r="V116" s="306">
        <f t="shared" ca="1" si="32"/>
        <v>1.1369634036324305</v>
      </c>
      <c r="W116" s="304">
        <f t="shared" ca="1" si="33"/>
        <v>63.634248089526686</v>
      </c>
      <c r="Y116" s="314" t="str">
        <f t="shared" ca="1" si="51"/>
        <v/>
      </c>
      <c r="Z116" s="315" t="str">
        <f t="shared" ca="1" si="52"/>
        <v/>
      </c>
      <c r="AA116" s="316" t="str">
        <f t="shared" ca="1" si="53"/>
        <v/>
      </c>
      <c r="AC116" s="310" t="e">
        <f t="shared" ca="1" si="54"/>
        <v>#N/A</v>
      </c>
      <c r="AD116" s="323" t="e">
        <f t="shared" ca="1" si="55"/>
        <v>#N/A</v>
      </c>
      <c r="AE116" s="324">
        <f t="shared" ca="1" si="34"/>
        <v>745.45267070759257</v>
      </c>
      <c r="AG116" s="306">
        <f t="shared" ca="1" si="56"/>
        <v>-30.89329110891126</v>
      </c>
      <c r="AH116" s="304">
        <f t="shared" ca="1" si="57"/>
        <v>-21.442112844965717</v>
      </c>
    </row>
    <row r="117" spans="1:34" x14ac:dyDescent="0.2">
      <c r="A117" s="347">
        <f t="shared" ca="1" si="35"/>
        <v>0.01</v>
      </c>
      <c r="B117" s="304">
        <f t="shared" ca="1" si="36"/>
        <v>5.7299999999999756</v>
      </c>
      <c r="D117" s="306">
        <f t="shared" ca="1" si="37"/>
        <v>-5.7271250924126607</v>
      </c>
      <c r="E117" s="307">
        <f t="shared" ca="1" si="38"/>
        <v>-30.386637741388796</v>
      </c>
      <c r="F117" s="304">
        <f t="shared" ca="1" si="39"/>
        <v>30.921638298294237</v>
      </c>
      <c r="G117" s="306">
        <f t="shared" ca="1" si="40"/>
        <v>44.272528517675575</v>
      </c>
      <c r="H117" s="307">
        <f t="shared" ca="1" si="41"/>
        <v>158.96596207372491</v>
      </c>
      <c r="I117" s="304">
        <f t="shared" ca="1" si="42"/>
        <v>165.01585947833422</v>
      </c>
      <c r="J117" s="306">
        <f t="shared" ca="1" si="43"/>
        <v>180.20755004135864</v>
      </c>
      <c r="K117" s="307">
        <f t="shared" ca="1" si="44"/>
        <v>747.04384966021689</v>
      </c>
      <c r="L117" s="304">
        <f t="shared" ca="1" si="29"/>
        <v>768.4720387932573</v>
      </c>
      <c r="M117" s="306">
        <f t="shared" ca="1" si="45"/>
        <v>1.2991761482064272</v>
      </c>
      <c r="N117" s="304">
        <f t="shared" ca="1" si="46"/>
        <v>74.437310136291018</v>
      </c>
      <c r="P117" s="310">
        <f t="shared" ca="1" si="47"/>
        <v>13</v>
      </c>
      <c r="Q117" s="304">
        <f t="shared" ca="1" si="48"/>
        <v>0</v>
      </c>
      <c r="R117" s="306">
        <f t="shared" ca="1" si="49"/>
        <v>0</v>
      </c>
      <c r="S117" s="307">
        <f t="shared" ca="1" si="50"/>
        <v>2.9792999999999985</v>
      </c>
      <c r="T117" s="304">
        <f t="shared" ca="1" si="30"/>
        <v>29.226932999999988</v>
      </c>
      <c r="U117" s="311">
        <f t="shared" ca="1" si="31"/>
        <v>0</v>
      </c>
      <c r="V117" s="306">
        <f t="shared" ca="1" si="32"/>
        <v>1.1367822546223854</v>
      </c>
      <c r="W117" s="304">
        <f t="shared" ca="1" si="33"/>
        <v>63.387193920907634</v>
      </c>
      <c r="Y117" s="314" t="str">
        <f t="shared" ca="1" si="51"/>
        <v/>
      </c>
      <c r="Z117" s="315" t="str">
        <f t="shared" ca="1" si="52"/>
        <v/>
      </c>
      <c r="AA117" s="316" t="str">
        <f t="shared" ca="1" si="53"/>
        <v/>
      </c>
      <c r="AC117" s="310" t="e">
        <f t="shared" ca="1" si="54"/>
        <v>#N/A</v>
      </c>
      <c r="AD117" s="323" t="e">
        <f t="shared" ca="1" si="55"/>
        <v>#N/A</v>
      </c>
      <c r="AE117" s="324">
        <f t="shared" ca="1" si="34"/>
        <v>747.04384966021689</v>
      </c>
      <c r="AG117" s="306">
        <f t="shared" ca="1" si="56"/>
        <v>-30.809551789296606</v>
      </c>
      <c r="AH117" s="304">
        <f t="shared" ca="1" si="57"/>
        <v>-21.358791692520633</v>
      </c>
    </row>
    <row r="118" spans="1:34" x14ac:dyDescent="0.2">
      <c r="A118" s="347">
        <f t="shared" ca="1" si="35"/>
        <v>0.01</v>
      </c>
      <c r="B118" s="304">
        <f t="shared" ca="1" si="36"/>
        <v>5.7399999999999753</v>
      </c>
      <c r="D118" s="306">
        <f t="shared" ca="1" si="37"/>
        <v>-5.7081572736056545</v>
      </c>
      <c r="E118" s="307">
        <f t="shared" ca="1" si="38"/>
        <v>-30.30584116941904</v>
      </c>
      <c r="F118" s="304">
        <f t="shared" ca="1" si="39"/>
        <v>30.838726764350554</v>
      </c>
      <c r="G118" s="306">
        <f t="shared" ca="1" si="40"/>
        <v>44.215446944939515</v>
      </c>
      <c r="H118" s="307">
        <f t="shared" ca="1" si="41"/>
        <v>158.66290366203071</v>
      </c>
      <c r="I118" s="304">
        <f t="shared" ca="1" si="42"/>
        <v>164.70859949318859</v>
      </c>
      <c r="J118" s="306">
        <f t="shared" ca="1" si="43"/>
        <v>180.64998991867171</v>
      </c>
      <c r="K118" s="307">
        <f t="shared" ca="1" si="44"/>
        <v>748.63199398889572</v>
      </c>
      <c r="L118" s="304">
        <f t="shared" ca="1" si="29"/>
        <v>770.11965387295902</v>
      </c>
      <c r="M118" s="306">
        <f t="shared" ca="1" si="45"/>
        <v>1.2990163538726445</v>
      </c>
      <c r="N118" s="304">
        <f t="shared" ca="1" si="46"/>
        <v>74.428154595375162</v>
      </c>
      <c r="P118" s="310">
        <f t="shared" ca="1" si="47"/>
        <v>13</v>
      </c>
      <c r="Q118" s="304">
        <f t="shared" ca="1" si="48"/>
        <v>0</v>
      </c>
      <c r="R118" s="306">
        <f t="shared" ca="1" si="49"/>
        <v>0</v>
      </c>
      <c r="S118" s="307">
        <f t="shared" ca="1" si="50"/>
        <v>2.9792999999999985</v>
      </c>
      <c r="T118" s="304">
        <f t="shared" ca="1" si="30"/>
        <v>29.226932999999988</v>
      </c>
      <c r="U118" s="311">
        <f t="shared" ca="1" si="31"/>
        <v>0</v>
      </c>
      <c r="V118" s="306">
        <f t="shared" ca="1" si="32"/>
        <v>1.1366014787960881</v>
      </c>
      <c r="W118" s="304">
        <f t="shared" ca="1" si="33"/>
        <v>63.141316837236673</v>
      </c>
      <c r="Y118" s="314" t="str">
        <f t="shared" ca="1" si="51"/>
        <v/>
      </c>
      <c r="Z118" s="315" t="str">
        <f t="shared" ca="1" si="52"/>
        <v/>
      </c>
      <c r="AA118" s="316" t="str">
        <f t="shared" ca="1" si="53"/>
        <v/>
      </c>
      <c r="AC118" s="310" t="e">
        <f t="shared" ca="1" si="54"/>
        <v>#N/A</v>
      </c>
      <c r="AD118" s="323" t="e">
        <f t="shared" ca="1" si="55"/>
        <v>#N/A</v>
      </c>
      <c r="AE118" s="324">
        <f t="shared" ca="1" si="34"/>
        <v>748.63199398889572</v>
      </c>
      <c r="AG118" s="306">
        <f t="shared" ca="1" si="56"/>
        <v>-30.726208799918343</v>
      </c>
      <c r="AH118" s="304">
        <f t="shared" ca="1" si="57"/>
        <v>-21.27586813040233</v>
      </c>
    </row>
    <row r="119" spans="1:34" x14ac:dyDescent="0.2">
      <c r="A119" s="347">
        <f t="shared" ca="1" si="35"/>
        <v>0.01</v>
      </c>
      <c r="B119" s="304">
        <f t="shared" ca="1" si="36"/>
        <v>5.7499999999999751</v>
      </c>
      <c r="D119" s="306">
        <f t="shared" ca="1" si="37"/>
        <v>-5.689277839961373</v>
      </c>
      <c r="E119" s="307">
        <f t="shared" ca="1" si="38"/>
        <v>-30.225429543263488</v>
      </c>
      <c r="F119" s="304">
        <f t="shared" ca="1" si="39"/>
        <v>30.756210322714676</v>
      </c>
      <c r="G119" s="306">
        <f t="shared" ca="1" si="40"/>
        <v>44.158554166539901</v>
      </c>
      <c r="H119" s="307">
        <f t="shared" ca="1" si="41"/>
        <v>158.36064936659807</v>
      </c>
      <c r="I119" s="304">
        <f t="shared" ca="1" si="42"/>
        <v>164.40216900603792</v>
      </c>
      <c r="J119" s="306">
        <f t="shared" ca="1" si="43"/>
        <v>181.09185992422911</v>
      </c>
      <c r="K119" s="307">
        <f t="shared" ca="1" si="44"/>
        <v>750.21711175403891</v>
      </c>
      <c r="L119" s="304">
        <f t="shared" ca="1" si="29"/>
        <v>771.76419747186299</v>
      </c>
      <c r="M119" s="306">
        <f t="shared" ca="1" si="45"/>
        <v>1.2988561698443133</v>
      </c>
      <c r="N119" s="304">
        <f t="shared" ca="1" si="46"/>
        <v>74.418976726606374</v>
      </c>
      <c r="P119" s="310">
        <f t="shared" ca="1" si="47"/>
        <v>13</v>
      </c>
      <c r="Q119" s="304">
        <f t="shared" ca="1" si="48"/>
        <v>0</v>
      </c>
      <c r="R119" s="306">
        <f t="shared" ca="1" si="49"/>
        <v>0</v>
      </c>
      <c r="S119" s="307">
        <f t="shared" ca="1" si="50"/>
        <v>2.9792999999999985</v>
      </c>
      <c r="T119" s="304">
        <f t="shared" ca="1" si="30"/>
        <v>29.226932999999988</v>
      </c>
      <c r="U119" s="311">
        <f t="shared" ca="1" si="31"/>
        <v>0</v>
      </c>
      <c r="V119" s="306">
        <f t="shared" ca="1" si="32"/>
        <v>1.1364210750712467</v>
      </c>
      <c r="W119" s="304">
        <f t="shared" ca="1" si="33"/>
        <v>62.896609441739621</v>
      </c>
      <c r="Y119" s="314" t="str">
        <f t="shared" ca="1" si="51"/>
        <v/>
      </c>
      <c r="Z119" s="315" t="str">
        <f t="shared" ca="1" si="52"/>
        <v/>
      </c>
      <c r="AA119" s="316" t="str">
        <f t="shared" ca="1" si="53"/>
        <v/>
      </c>
      <c r="AC119" s="310" t="e">
        <f t="shared" ca="1" si="54"/>
        <v>#N/A</v>
      </c>
      <c r="AD119" s="323" t="e">
        <f t="shared" ca="1" si="55"/>
        <v>#N/A</v>
      </c>
      <c r="AE119" s="324">
        <f t="shared" ca="1" si="34"/>
        <v>750.21711175403891</v>
      </c>
      <c r="AG119" s="306">
        <f t="shared" ca="1" si="56"/>
        <v>-30.643259634193349</v>
      </c>
      <c r="AH119" s="304">
        <f t="shared" ca="1" si="57"/>
        <v>-21.193339656038905</v>
      </c>
    </row>
    <row r="120" spans="1:34" x14ac:dyDescent="0.2">
      <c r="A120" s="347">
        <f t="shared" ca="1" si="35"/>
        <v>0.01</v>
      </c>
      <c r="B120" s="304">
        <f t="shared" ca="1" si="36"/>
        <v>5.7599999999999749</v>
      </c>
      <c r="D120" s="306">
        <f t="shared" ca="1" si="37"/>
        <v>-5.6704862324655654</v>
      </c>
      <c r="E120" s="307">
        <f t="shared" ca="1" si="38"/>
        <v>-30.145400443840288</v>
      </c>
      <c r="F120" s="304">
        <f t="shared" ca="1" si="39"/>
        <v>30.674086490587911</v>
      </c>
      <c r="G120" s="306">
        <f t="shared" ca="1" si="40"/>
        <v>44.101849304215243</v>
      </c>
      <c r="H120" s="307">
        <f t="shared" ca="1" si="41"/>
        <v>158.05919536215967</v>
      </c>
      <c r="I120" s="304">
        <f t="shared" ca="1" si="42"/>
        <v>164.09656410353347</v>
      </c>
      <c r="J120" s="306">
        <f t="shared" ca="1" si="43"/>
        <v>181.53316194158288</v>
      </c>
      <c r="K120" s="307">
        <f t="shared" ca="1" si="44"/>
        <v>751.79921097768272</v>
      </c>
      <c r="L120" s="304">
        <f t="shared" ca="1" si="29"/>
        <v>773.40567783743052</v>
      </c>
      <c r="M120" s="306">
        <f t="shared" ca="1" si="45"/>
        <v>1.2986955952535724</v>
      </c>
      <c r="N120" s="304">
        <f t="shared" ca="1" si="46"/>
        <v>74.409776480259879</v>
      </c>
      <c r="P120" s="310">
        <f t="shared" ca="1" si="47"/>
        <v>13</v>
      </c>
      <c r="Q120" s="304">
        <f t="shared" ca="1" si="48"/>
        <v>0</v>
      </c>
      <c r="R120" s="306">
        <f t="shared" ca="1" si="49"/>
        <v>0</v>
      </c>
      <c r="S120" s="307">
        <f t="shared" ca="1" si="50"/>
        <v>2.9792999999999985</v>
      </c>
      <c r="T120" s="304">
        <f t="shared" ca="1" si="30"/>
        <v>29.226932999999988</v>
      </c>
      <c r="U120" s="311">
        <f t="shared" ca="1" si="31"/>
        <v>0</v>
      </c>
      <c r="V120" s="306">
        <f t="shared" ca="1" si="32"/>
        <v>1.1362410423708731</v>
      </c>
      <c r="W120" s="304">
        <f t="shared" ca="1" si="33"/>
        <v>62.653064396217324</v>
      </c>
      <c r="Y120" s="314" t="str">
        <f t="shared" ca="1" si="51"/>
        <v/>
      </c>
      <c r="Z120" s="315" t="str">
        <f t="shared" ca="1" si="52"/>
        <v/>
      </c>
      <c r="AA120" s="316" t="str">
        <f t="shared" ca="1" si="53"/>
        <v/>
      </c>
      <c r="AC120" s="310" t="e">
        <f t="shared" ca="1" si="54"/>
        <v>#N/A</v>
      </c>
      <c r="AD120" s="323" t="e">
        <f t="shared" ca="1" si="55"/>
        <v>#N/A</v>
      </c>
      <c r="AE120" s="324">
        <f t="shared" ca="1" si="34"/>
        <v>751.79921097768272</v>
      </c>
      <c r="AG120" s="306">
        <f t="shared" ca="1" si="56"/>
        <v>-30.560701805370392</v>
      </c>
      <c r="AH120" s="304">
        <f t="shared" ca="1" si="57"/>
        <v>-21.11120378670817</v>
      </c>
    </row>
    <row r="121" spans="1:34" x14ac:dyDescent="0.2">
      <c r="A121" s="347">
        <f t="shared" ca="1" si="35"/>
        <v>0.01</v>
      </c>
      <c r="B121" s="304">
        <f t="shared" ca="1" si="36"/>
        <v>5.7699999999999747</v>
      </c>
      <c r="D121" s="306">
        <f t="shared" ca="1" si="37"/>
        <v>-5.6517818965274547</v>
      </c>
      <c r="E121" s="307">
        <f t="shared" ca="1" si="38"/>
        <v>-30.065751471223855</v>
      </c>
      <c r="F121" s="304">
        <f t="shared" ca="1" si="39"/>
        <v>30.592352804832043</v>
      </c>
      <c r="G121" s="306">
        <f t="shared" ca="1" si="40"/>
        <v>44.045331485249967</v>
      </c>
      <c r="H121" s="307">
        <f t="shared" ca="1" si="41"/>
        <v>157.75853784744743</v>
      </c>
      <c r="I121" s="304">
        <f t="shared" ca="1" si="42"/>
        <v>163.79178089699755</v>
      </c>
      <c r="J121" s="306">
        <f t="shared" ca="1" si="43"/>
        <v>181.97389784553019</v>
      </c>
      <c r="K121" s="307">
        <f t="shared" ca="1" si="44"/>
        <v>753.37829964373077</v>
      </c>
      <c r="L121" s="304">
        <f t="shared" ca="1" si="29"/>
        <v>775.0441031781188</v>
      </c>
      <c r="M121" s="306">
        <f t="shared" ca="1" si="45"/>
        <v>1.2985346292293178</v>
      </c>
      <c r="N121" s="304">
        <f t="shared" ca="1" si="46"/>
        <v>74.400553806425094</v>
      </c>
      <c r="P121" s="310">
        <f t="shared" ca="1" si="47"/>
        <v>13</v>
      </c>
      <c r="Q121" s="304">
        <f t="shared" ca="1" si="48"/>
        <v>0</v>
      </c>
      <c r="R121" s="306">
        <f t="shared" ca="1" si="49"/>
        <v>0</v>
      </c>
      <c r="S121" s="307">
        <f t="shared" ca="1" si="50"/>
        <v>2.9792999999999985</v>
      </c>
      <c r="T121" s="304">
        <f t="shared" ca="1" si="30"/>
        <v>29.226932999999988</v>
      </c>
      <c r="U121" s="311">
        <f t="shared" ca="1" si="31"/>
        <v>0</v>
      </c>
      <c r="V121" s="306">
        <f t="shared" ca="1" si="32"/>
        <v>1.1360613796232479</v>
      </c>
      <c r="W121" s="304">
        <f t="shared" ca="1" si="33"/>
        <v>62.410674420488498</v>
      </c>
      <c r="Y121" s="314" t="str">
        <f t="shared" ca="1" si="51"/>
        <v/>
      </c>
      <c r="Z121" s="315" t="str">
        <f t="shared" ca="1" si="52"/>
        <v/>
      </c>
      <c r="AA121" s="316" t="str">
        <f t="shared" ca="1" si="53"/>
        <v/>
      </c>
      <c r="AC121" s="310" t="e">
        <f t="shared" ca="1" si="54"/>
        <v>#N/A</v>
      </c>
      <c r="AD121" s="323" t="e">
        <f t="shared" ca="1" si="55"/>
        <v>#N/A</v>
      </c>
      <c r="AE121" s="324">
        <f t="shared" ca="1" si="34"/>
        <v>753.37829964373077</v>
      </c>
      <c r="AG121" s="306">
        <f t="shared" ca="1" si="56"/>
        <v>-30.478532846341061</v>
      </c>
      <c r="AH121" s="304">
        <f t="shared" ca="1" si="57"/>
        <v>-21.029458059348624</v>
      </c>
    </row>
    <row r="122" spans="1:34" x14ac:dyDescent="0.2">
      <c r="A122" s="347">
        <f t="shared" ca="1" si="35"/>
        <v>0.01</v>
      </c>
      <c r="B122" s="304">
        <f t="shared" ca="1" si="36"/>
        <v>5.7799999999999745</v>
      </c>
      <c r="D122" s="306">
        <f t="shared" ca="1" si="37"/>
        <v>-5.6331642819376704</v>
      </c>
      <c r="E122" s="307">
        <f t="shared" ca="1" si="38"/>
        <v>-29.986480244462619</v>
      </c>
      <c r="F122" s="304">
        <f t="shared" ca="1" si="39"/>
        <v>30.511006821782285</v>
      </c>
      <c r="G122" s="306">
        <f t="shared" ca="1" si="40"/>
        <v>43.988999842430587</v>
      </c>
      <c r="H122" s="307">
        <f t="shared" ca="1" si="41"/>
        <v>157.4586730450028</v>
      </c>
      <c r="I122" s="304">
        <f t="shared" ca="1" si="42"/>
        <v>163.4878155222292</v>
      </c>
      <c r="J122" s="306">
        <f t="shared" ca="1" si="43"/>
        <v>182.41406950216859</v>
      </c>
      <c r="K122" s="307">
        <f t="shared" ca="1" si="44"/>
        <v>754.95438569819305</v>
      </c>
      <c r="L122" s="304">
        <f t="shared" ca="1" si="29"/>
        <v>776.67948166362555</v>
      </c>
      <c r="M122" s="306">
        <f t="shared" ca="1" si="45"/>
        <v>1.2983732708971918</v>
      </c>
      <c r="N122" s="304">
        <f t="shared" ca="1" si="46"/>
        <v>74.391308655005005</v>
      </c>
      <c r="P122" s="310">
        <f t="shared" ca="1" si="47"/>
        <v>13</v>
      </c>
      <c r="Q122" s="304">
        <f t="shared" ca="1" si="48"/>
        <v>0</v>
      </c>
      <c r="R122" s="306">
        <f t="shared" ca="1" si="49"/>
        <v>0</v>
      </c>
      <c r="S122" s="307">
        <f t="shared" ca="1" si="50"/>
        <v>2.9792999999999985</v>
      </c>
      <c r="T122" s="304">
        <f t="shared" ca="1" si="30"/>
        <v>29.226932999999988</v>
      </c>
      <c r="U122" s="311">
        <f t="shared" ca="1" si="31"/>
        <v>0</v>
      </c>
      <c r="V122" s="306">
        <f t="shared" ca="1" si="32"/>
        <v>1.1358820857618881</v>
      </c>
      <c r="W122" s="304">
        <f t="shared" ca="1" si="33"/>
        <v>62.169432291838994</v>
      </c>
      <c r="Y122" s="314" t="str">
        <f t="shared" ca="1" si="51"/>
        <v/>
      </c>
      <c r="Z122" s="315" t="str">
        <f t="shared" ca="1" si="52"/>
        <v/>
      </c>
      <c r="AA122" s="316" t="str">
        <f t="shared" ca="1" si="53"/>
        <v/>
      </c>
      <c r="AC122" s="310" t="e">
        <f t="shared" ca="1" si="54"/>
        <v>#N/A</v>
      </c>
      <c r="AD122" s="323" t="e">
        <f t="shared" ca="1" si="55"/>
        <v>#N/A</v>
      </c>
      <c r="AE122" s="324">
        <f t="shared" ca="1" si="34"/>
        <v>754.95438569819305</v>
      </c>
      <c r="AG122" s="306">
        <f t="shared" ca="1" si="56"/>
        <v>-30.396750309452614</v>
      </c>
      <c r="AH122" s="304">
        <f t="shared" ca="1" si="57"/>
        <v>-20.948100030372412</v>
      </c>
    </row>
    <row r="123" spans="1:34" x14ac:dyDescent="0.2">
      <c r="A123" s="347">
        <f t="shared" ca="1" si="35"/>
        <v>0.01</v>
      </c>
      <c r="B123" s="304">
        <f t="shared" ca="1" si="36"/>
        <v>5.7899999999999743</v>
      </c>
      <c r="D123" s="306">
        <f t="shared" ca="1" si="37"/>
        <v>-5.6146328428266372</v>
      </c>
      <c r="E123" s="307">
        <f t="shared" ca="1" si="38"/>
        <v>-29.90758440139895</v>
      </c>
      <c r="F123" s="304">
        <f t="shared" ca="1" si="39"/>
        <v>30.430046117062481</v>
      </c>
      <c r="G123" s="306">
        <f t="shared" ca="1" si="40"/>
        <v>43.932853514002318</v>
      </c>
      <c r="H123" s="307">
        <f t="shared" ca="1" si="41"/>
        <v>157.1595972009888</v>
      </c>
      <c r="I123" s="304">
        <f t="shared" ca="1" si="42"/>
        <v>163.18466413931131</v>
      </c>
      <c r="J123" s="306">
        <f t="shared" ca="1" si="43"/>
        <v>182.85367876895074</v>
      </c>
      <c r="K123" s="307">
        <f t="shared" ca="1" si="44"/>
        <v>756.52747704942306</v>
      </c>
      <c r="L123" s="304">
        <f t="shared" ca="1" si="29"/>
        <v>778.31182142513035</v>
      </c>
      <c r="M123" s="306">
        <f t="shared" ca="1" si="45"/>
        <v>1.2982115193795696</v>
      </c>
      <c r="N123" s="304">
        <f t="shared" ca="1" si="46"/>
        <v>74.382040975715412</v>
      </c>
      <c r="P123" s="310">
        <f t="shared" ca="1" si="47"/>
        <v>13</v>
      </c>
      <c r="Q123" s="304">
        <f t="shared" ca="1" si="48"/>
        <v>0</v>
      </c>
      <c r="R123" s="306">
        <f t="shared" ca="1" si="49"/>
        <v>0</v>
      </c>
      <c r="S123" s="307">
        <f t="shared" ca="1" si="50"/>
        <v>2.9792999999999985</v>
      </c>
      <c r="T123" s="304">
        <f t="shared" ca="1" si="30"/>
        <v>29.226932999999988</v>
      </c>
      <c r="U123" s="311">
        <f t="shared" ca="1" si="31"/>
        <v>0</v>
      </c>
      <c r="V123" s="306">
        <f t="shared" ca="1" si="32"/>
        <v>1.1357031597255129</v>
      </c>
      <c r="W123" s="304">
        <f t="shared" ca="1" si="33"/>
        <v>61.929330844476929</v>
      </c>
      <c r="Y123" s="314" t="str">
        <f t="shared" ca="1" si="51"/>
        <v/>
      </c>
      <c r="Z123" s="315" t="str">
        <f t="shared" ca="1" si="52"/>
        <v/>
      </c>
      <c r="AA123" s="316" t="str">
        <f t="shared" ca="1" si="53"/>
        <v/>
      </c>
      <c r="AC123" s="310" t="e">
        <f t="shared" ca="1" si="54"/>
        <v>#N/A</v>
      </c>
      <c r="AD123" s="323" t="e">
        <f t="shared" ca="1" si="55"/>
        <v>#N/A</v>
      </c>
      <c r="AE123" s="324">
        <f t="shared" ca="1" si="34"/>
        <v>756.52747704942306</v>
      </c>
      <c r="AG123" s="306">
        <f t="shared" ca="1" si="56"/>
        <v>-30.315351766323062</v>
      </c>
      <c r="AH123" s="304">
        <f t="shared" ca="1" si="57"/>
        <v>-20.867127275480492</v>
      </c>
    </row>
    <row r="124" spans="1:34" x14ac:dyDescent="0.2">
      <c r="A124" s="347">
        <f t="shared" ca="1" si="35"/>
        <v>0.01</v>
      </c>
      <c r="B124" s="304">
        <f t="shared" ca="1" si="36"/>
        <v>5.7999999999999741</v>
      </c>
      <c r="D124" s="306">
        <f t="shared" ca="1" si="37"/>
        <v>-5.5961870376234204</v>
      </c>
      <c r="E124" s="307">
        <f t="shared" ca="1" si="38"/>
        <v>-29.829061598490931</v>
      </c>
      <c r="F124" s="304">
        <f t="shared" ca="1" si="39"/>
        <v>30.349468285402146</v>
      </c>
      <c r="G124" s="306">
        <f t="shared" ca="1" si="40"/>
        <v>43.876891643626081</v>
      </c>
      <c r="H124" s="307">
        <f t="shared" ca="1" si="41"/>
        <v>156.86130658500389</v>
      </c>
      <c r="I124" s="304">
        <f t="shared" ca="1" si="42"/>
        <v>162.88232293241978</v>
      </c>
      <c r="J124" s="306">
        <f t="shared" ca="1" si="43"/>
        <v>183.2927274947389</v>
      </c>
      <c r="K124" s="307">
        <f t="shared" ca="1" si="44"/>
        <v>758.09758156835301</v>
      </c>
      <c r="L124" s="304">
        <f t="shared" ca="1" si="29"/>
        <v>779.9411305555351</v>
      </c>
      <c r="M124" s="306">
        <f t="shared" ca="1" si="45"/>
        <v>1.2980493737955463</v>
      </c>
      <c r="N124" s="304">
        <f t="shared" ca="1" si="46"/>
        <v>74.372750718084205</v>
      </c>
      <c r="P124" s="310">
        <f t="shared" ca="1" si="47"/>
        <v>13</v>
      </c>
      <c r="Q124" s="304">
        <f t="shared" ca="1" si="48"/>
        <v>0</v>
      </c>
      <c r="R124" s="306">
        <f t="shared" ca="1" si="49"/>
        <v>0</v>
      </c>
      <c r="S124" s="307">
        <f t="shared" ca="1" si="50"/>
        <v>2.9792999999999985</v>
      </c>
      <c r="T124" s="304">
        <f t="shared" ca="1" si="30"/>
        <v>29.226932999999988</v>
      </c>
      <c r="U124" s="311">
        <f t="shared" ca="1" si="31"/>
        <v>0</v>
      </c>
      <c r="V124" s="306">
        <f t="shared" ca="1" si="32"/>
        <v>1.1355246004580093</v>
      </c>
      <c r="W124" s="304">
        <f t="shared" ca="1" si="33"/>
        <v>61.690362968993824</v>
      </c>
      <c r="Y124" s="314" t="str">
        <f t="shared" ca="1" si="51"/>
        <v/>
      </c>
      <c r="Z124" s="315" t="str">
        <f t="shared" ca="1" si="52"/>
        <v/>
      </c>
      <c r="AA124" s="316" t="str">
        <f t="shared" ca="1" si="53"/>
        <v/>
      </c>
      <c r="AC124" s="310" t="e">
        <f t="shared" ca="1" si="54"/>
        <v>#N/A</v>
      </c>
      <c r="AD124" s="323" t="e">
        <f t="shared" ca="1" si="55"/>
        <v>#N/A</v>
      </c>
      <c r="AE124" s="324">
        <f t="shared" ca="1" si="34"/>
        <v>758.09758156835301</v>
      </c>
      <c r="AG124" s="306">
        <f t="shared" ca="1" si="56"/>
        <v>-30.234334807658165</v>
      </c>
      <c r="AH124" s="304">
        <f t="shared" ca="1" si="57"/>
        <v>-20.786537389479729</v>
      </c>
    </row>
    <row r="125" spans="1:34" x14ac:dyDescent="0.2">
      <c r="A125" s="347">
        <f t="shared" ca="1" si="35"/>
        <v>0.01</v>
      </c>
      <c r="B125" s="304">
        <f t="shared" ca="1" si="36"/>
        <v>5.8099999999999739</v>
      </c>
      <c r="D125" s="306">
        <f t="shared" ca="1" si="37"/>
        <v>-5.5778263290150427</v>
      </c>
      <c r="E125" s="307">
        <f t="shared" ca="1" si="38"/>
        <v>-29.750909510636163</v>
      </c>
      <c r="F125" s="304">
        <f t="shared" ca="1" si="39"/>
        <v>30.26927094045568</v>
      </c>
      <c r="G125" s="306">
        <f t="shared" ca="1" si="40"/>
        <v>43.82111338033593</v>
      </c>
      <c r="H125" s="307">
        <f t="shared" ca="1" si="41"/>
        <v>156.56379748989752</v>
      </c>
      <c r="I125" s="304">
        <f t="shared" ca="1" si="42"/>
        <v>162.5807881096346</v>
      </c>
      <c r="J125" s="306">
        <f t="shared" ca="1" si="43"/>
        <v>183.73121751985872</v>
      </c>
      <c r="K125" s="307">
        <f t="shared" ca="1" si="44"/>
        <v>759.66470708872748</v>
      </c>
      <c r="L125" s="304">
        <f t="shared" ca="1" si="29"/>
        <v>781.56741710970255</v>
      </c>
      <c r="M125" s="306">
        <f t="shared" ca="1" si="45"/>
        <v>1.2978868332609239</v>
      </c>
      <c r="N125" s="304">
        <f t="shared" ca="1" si="46"/>
        <v>74.36343783145054</v>
      </c>
      <c r="P125" s="310">
        <f t="shared" ca="1" si="47"/>
        <v>13</v>
      </c>
      <c r="Q125" s="304">
        <f t="shared" ca="1" si="48"/>
        <v>0</v>
      </c>
      <c r="R125" s="306">
        <f t="shared" ca="1" si="49"/>
        <v>0</v>
      </c>
      <c r="S125" s="307">
        <f t="shared" ca="1" si="50"/>
        <v>2.9792999999999985</v>
      </c>
      <c r="T125" s="304">
        <f t="shared" ca="1" si="30"/>
        <v>29.226932999999988</v>
      </c>
      <c r="U125" s="311">
        <f t="shared" ca="1" si="31"/>
        <v>0</v>
      </c>
      <c r="V125" s="306">
        <f t="shared" ca="1" si="32"/>
        <v>1.1353464069084003</v>
      </c>
      <c r="W125" s="304">
        <f t="shared" ca="1" si="33"/>
        <v>61.452521611832104</v>
      </c>
      <c r="Y125" s="314" t="str">
        <f t="shared" ca="1" si="51"/>
        <v/>
      </c>
      <c r="Z125" s="315" t="str">
        <f t="shared" ca="1" si="52"/>
        <v/>
      </c>
      <c r="AA125" s="316" t="str">
        <f t="shared" ca="1" si="53"/>
        <v/>
      </c>
      <c r="AC125" s="310" t="e">
        <f t="shared" ca="1" si="54"/>
        <v>#N/A</v>
      </c>
      <c r="AD125" s="323" t="e">
        <f t="shared" ca="1" si="55"/>
        <v>#N/A</v>
      </c>
      <c r="AE125" s="324">
        <f t="shared" ca="1" si="34"/>
        <v>759.66470708872748</v>
      </c>
      <c r="AG125" s="306">
        <f t="shared" ca="1" si="56"/>
        <v>-30.153697043070522</v>
      </c>
      <c r="AH125" s="304">
        <f t="shared" ca="1" si="57"/>
        <v>-20.706327986102057</v>
      </c>
    </row>
    <row r="126" spans="1:34" x14ac:dyDescent="0.2">
      <c r="A126" s="347">
        <f t="shared" ca="1" si="35"/>
        <v>0.01</v>
      </c>
      <c r="B126" s="304">
        <f t="shared" ca="1" si="36"/>
        <v>5.8199999999999736</v>
      </c>
      <c r="D126" s="306">
        <f t="shared" ca="1" si="37"/>
        <v>-5.5595501839062678</v>
      </c>
      <c r="E126" s="307">
        <f t="shared" ca="1" si="38"/>
        <v>-29.673125830997563</v>
      </c>
      <c r="F126" s="304">
        <f t="shared" ca="1" si="39"/>
        <v>30.189451714623551</v>
      </c>
      <c r="G126" s="306">
        <f t="shared" ca="1" si="40"/>
        <v>43.765517878496865</v>
      </c>
      <c r="H126" s="307">
        <f t="shared" ca="1" si="41"/>
        <v>156.26706623158753</v>
      </c>
      <c r="I126" s="304">
        <f t="shared" ca="1" si="42"/>
        <v>162.28005590275225</v>
      </c>
      <c r="J126" s="306">
        <f t="shared" ca="1" si="43"/>
        <v>184.16915067615287</v>
      </c>
      <c r="K126" s="307">
        <f t="shared" ca="1" si="44"/>
        <v>761.22886140733488</v>
      </c>
      <c r="L126" s="304">
        <f t="shared" ca="1" si="29"/>
        <v>783.19068910469241</v>
      </c>
      <c r="M126" s="306">
        <f t="shared" ca="1" si="45"/>
        <v>1.2977238968881994</v>
      </c>
      <c r="N126" s="304">
        <f t="shared" ca="1" si="46"/>
        <v>74.354102264964254</v>
      </c>
      <c r="P126" s="310">
        <f t="shared" ca="1" si="47"/>
        <v>13</v>
      </c>
      <c r="Q126" s="304">
        <f t="shared" ca="1" si="48"/>
        <v>0</v>
      </c>
      <c r="R126" s="306">
        <f t="shared" ca="1" si="49"/>
        <v>0</v>
      </c>
      <c r="S126" s="307">
        <f t="shared" ca="1" si="50"/>
        <v>2.9792999999999985</v>
      </c>
      <c r="T126" s="304">
        <f t="shared" ca="1" si="30"/>
        <v>29.226932999999988</v>
      </c>
      <c r="U126" s="311">
        <f t="shared" ca="1" si="31"/>
        <v>0</v>
      </c>
      <c r="V126" s="306">
        <f t="shared" ca="1" si="32"/>
        <v>1.1351685780308121</v>
      </c>
      <c r="W126" s="304">
        <f t="shared" ca="1" si="33"/>
        <v>61.215799774757819</v>
      </c>
      <c r="Y126" s="314" t="str">
        <f t="shared" ca="1" si="51"/>
        <v/>
      </c>
      <c r="Z126" s="315" t="str">
        <f t="shared" ca="1" si="52"/>
        <v/>
      </c>
      <c r="AA126" s="316" t="str">
        <f t="shared" ca="1" si="53"/>
        <v/>
      </c>
      <c r="AC126" s="310" t="e">
        <f t="shared" ca="1" si="54"/>
        <v>#N/A</v>
      </c>
      <c r="AD126" s="323" t="e">
        <f t="shared" ca="1" si="55"/>
        <v>#N/A</v>
      </c>
      <c r="AE126" s="324">
        <f t="shared" ca="1" si="34"/>
        <v>761.22886140733488</v>
      </c>
      <c r="AG126" s="306">
        <f t="shared" ca="1" si="56"/>
        <v>-30.073436100900711</v>
      </c>
      <c r="AH126" s="304">
        <f t="shared" ca="1" si="57"/>
        <v>-20.626496697825708</v>
      </c>
    </row>
    <row r="127" spans="1:34" x14ac:dyDescent="0.2">
      <c r="A127" s="347">
        <f t="shared" ca="1" si="35"/>
        <v>0.01</v>
      </c>
      <c r="B127" s="304">
        <f t="shared" ca="1" si="36"/>
        <v>5.8299999999999734</v>
      </c>
      <c r="D127" s="306">
        <f t="shared" ca="1" si="37"/>
        <v>-5.5413580733797536</v>
      </c>
      <c r="E127" s="307">
        <f t="shared" ca="1" si="38"/>
        <v>-29.595708270830968</v>
      </c>
      <c r="F127" s="304">
        <f t="shared" ca="1" si="39"/>
        <v>30.110008258875379</v>
      </c>
      <c r="G127" s="306">
        <f t="shared" ca="1" si="40"/>
        <v>43.710104297763067</v>
      </c>
      <c r="H127" s="307">
        <f t="shared" ca="1" si="41"/>
        <v>155.97110914887924</v>
      </c>
      <c r="I127" s="304">
        <f t="shared" ca="1" si="42"/>
        <v>161.98012256710058</v>
      </c>
      <c r="J127" s="306">
        <f t="shared" ca="1" si="43"/>
        <v>184.60652878703416</v>
      </c>
      <c r="K127" s="307">
        <f t="shared" ca="1" si="44"/>
        <v>762.79005228423716</v>
      </c>
      <c r="L127" s="304">
        <f t="shared" ca="1" si="29"/>
        <v>784.81095451999613</v>
      </c>
      <c r="M127" s="306">
        <f t="shared" ca="1" si="45"/>
        <v>1.2975605637865508</v>
      </c>
      <c r="N127" s="304">
        <f t="shared" ca="1" si="46"/>
        <v>74.344743967585003</v>
      </c>
      <c r="P127" s="310">
        <f t="shared" ca="1" si="47"/>
        <v>13</v>
      </c>
      <c r="Q127" s="304">
        <f t="shared" ca="1" si="48"/>
        <v>0</v>
      </c>
      <c r="R127" s="306">
        <f t="shared" ca="1" si="49"/>
        <v>0</v>
      </c>
      <c r="S127" s="307">
        <f t="shared" ca="1" si="50"/>
        <v>2.9792999999999985</v>
      </c>
      <c r="T127" s="304">
        <f t="shared" ca="1" si="30"/>
        <v>29.226932999999988</v>
      </c>
      <c r="U127" s="311">
        <f t="shared" ca="1" si="31"/>
        <v>0</v>
      </c>
      <c r="V127" s="306">
        <f t="shared" ca="1" si="32"/>
        <v>1.1349911127844414</v>
      </c>
      <c r="W127" s="304">
        <f t="shared" ca="1" si="33"/>
        <v>60.980190514339917</v>
      </c>
      <c r="Y127" s="314" t="str">
        <f t="shared" ca="1" si="51"/>
        <v/>
      </c>
      <c r="Z127" s="315" t="str">
        <f t="shared" ca="1" si="52"/>
        <v/>
      </c>
      <c r="AA127" s="316" t="str">
        <f t="shared" ca="1" si="53"/>
        <v/>
      </c>
      <c r="AC127" s="310" t="e">
        <f t="shared" ca="1" si="54"/>
        <v>#N/A</v>
      </c>
      <c r="AD127" s="323" t="e">
        <f t="shared" ca="1" si="55"/>
        <v>#N/A</v>
      </c>
      <c r="AE127" s="324">
        <f t="shared" ca="1" si="34"/>
        <v>762.79005228423716</v>
      </c>
      <c r="AG127" s="306">
        <f t="shared" ca="1" si="56"/>
        <v>-29.993549628040221</v>
      </c>
      <c r="AH127" s="304">
        <f t="shared" ca="1" si="57"/>
        <v>-20.547041175698268</v>
      </c>
    </row>
    <row r="128" spans="1:34" x14ac:dyDescent="0.2">
      <c r="A128" s="347">
        <f t="shared" ca="1" si="35"/>
        <v>0.01</v>
      </c>
      <c r="B128" s="304">
        <f t="shared" ca="1" si="36"/>
        <v>5.8399999999999732</v>
      </c>
      <c r="D128" s="306">
        <f t="shared" ca="1" si="37"/>
        <v>-5.5232494726567447</v>
      </c>
      <c r="E128" s="307">
        <f t="shared" ca="1" si="38"/>
        <v>-29.518654559314818</v>
      </c>
      <c r="F128" s="304">
        <f t="shared" ca="1" si="39"/>
        <v>30.030938242575115</v>
      </c>
      <c r="G128" s="306">
        <f t="shared" ca="1" si="40"/>
        <v>43.6548718030365</v>
      </c>
      <c r="H128" s="307">
        <f t="shared" ca="1" si="41"/>
        <v>155.6759226032861</v>
      </c>
      <c r="I128" s="304">
        <f t="shared" ca="1" si="42"/>
        <v>161.68098438135473</v>
      </c>
      <c r="J128" s="306">
        <f t="shared" ca="1" si="43"/>
        <v>185.04335366753816</v>
      </c>
      <c r="K128" s="307">
        <f t="shared" ca="1" si="44"/>
        <v>764.34828744299796</v>
      </c>
      <c r="L128" s="304">
        <f t="shared" ca="1" si="29"/>
        <v>786.42822129776948</v>
      </c>
      <c r="M128" s="306">
        <f t="shared" ca="1" si="45"/>
        <v>1.2973968330618246</v>
      </c>
      <c r="N128" s="304">
        <f t="shared" ca="1" si="46"/>
        <v>74.335362888081576</v>
      </c>
      <c r="P128" s="310">
        <f t="shared" ca="1" si="47"/>
        <v>13</v>
      </c>
      <c r="Q128" s="304">
        <f t="shared" ca="1" si="48"/>
        <v>0</v>
      </c>
      <c r="R128" s="306">
        <f t="shared" ca="1" si="49"/>
        <v>0</v>
      </c>
      <c r="S128" s="307">
        <f t="shared" ca="1" si="50"/>
        <v>2.9792999999999985</v>
      </c>
      <c r="T128" s="304">
        <f t="shared" ca="1" si="30"/>
        <v>29.226932999999988</v>
      </c>
      <c r="U128" s="311">
        <f t="shared" ca="1" si="31"/>
        <v>0</v>
      </c>
      <c r="V128" s="306">
        <f t="shared" ca="1" si="32"/>
        <v>1.1348140101335227</v>
      </c>
      <c r="W128" s="304">
        <f t="shared" ca="1" si="33"/>
        <v>60.745686941434535</v>
      </c>
      <c r="Y128" s="314" t="str">
        <f t="shared" ca="1" si="51"/>
        <v/>
      </c>
      <c r="Z128" s="315" t="str">
        <f t="shared" ca="1" si="52"/>
        <v/>
      </c>
      <c r="AA128" s="316" t="str">
        <f t="shared" ca="1" si="53"/>
        <v/>
      </c>
      <c r="AC128" s="310" t="e">
        <f t="shared" ca="1" si="54"/>
        <v>#N/A</v>
      </c>
      <c r="AD128" s="323" t="e">
        <f t="shared" ca="1" si="55"/>
        <v>#N/A</v>
      </c>
      <c r="AE128" s="324">
        <f t="shared" ca="1" si="34"/>
        <v>764.34828744299796</v>
      </c>
      <c r="AG128" s="306">
        <f t="shared" ca="1" si="56"/>
        <v>-29.91403528975659</v>
      </c>
      <c r="AH128" s="304">
        <f t="shared" ca="1" si="57"/>
        <v>-20.467959089161866</v>
      </c>
    </row>
    <row r="129" spans="1:34" x14ac:dyDescent="0.2">
      <c r="A129" s="347">
        <f t="shared" ca="1" si="35"/>
        <v>0.01</v>
      </c>
      <c r="B129" s="304">
        <f t="shared" ca="1" si="36"/>
        <v>5.849999999999973</v>
      </c>
      <c r="D129" s="306">
        <f t="shared" ca="1" si="37"/>
        <v>-5.5052238610581101</v>
      </c>
      <c r="E129" s="307">
        <f t="shared" ca="1" si="38"/>
        <v>-29.441962443381492</v>
      </c>
      <c r="F129" s="304">
        <f t="shared" ca="1" si="39"/>
        <v>29.952239353307956</v>
      </c>
      <c r="G129" s="306">
        <f t="shared" ca="1" si="40"/>
        <v>43.599819564425921</v>
      </c>
      <c r="H129" s="307">
        <f t="shared" ca="1" si="41"/>
        <v>155.38150297885227</v>
      </c>
      <c r="I129" s="304">
        <f t="shared" ca="1" si="42"/>
        <v>161.38263764735527</v>
      </c>
      <c r="J129" s="306">
        <f t="shared" ca="1" si="43"/>
        <v>185.47962712437547</v>
      </c>
      <c r="K129" s="307">
        <f t="shared" ca="1" si="44"/>
        <v>765.90357457090863</v>
      </c>
      <c r="L129" s="304">
        <f t="shared" ca="1" si="29"/>
        <v>788.04249734306381</v>
      </c>
      <c r="M129" s="306">
        <f t="shared" ca="1" si="45"/>
        <v>1.2972327038165221</v>
      </c>
      <c r="N129" s="304">
        <f t="shared" ca="1" si="46"/>
        <v>74.325958975031071</v>
      </c>
      <c r="P129" s="310">
        <f t="shared" ca="1" si="47"/>
        <v>13</v>
      </c>
      <c r="Q129" s="304">
        <f t="shared" ca="1" si="48"/>
        <v>0</v>
      </c>
      <c r="R129" s="306">
        <f t="shared" ca="1" si="49"/>
        <v>0</v>
      </c>
      <c r="S129" s="307">
        <f t="shared" ca="1" si="50"/>
        <v>2.9792999999999985</v>
      </c>
      <c r="T129" s="304">
        <f t="shared" ca="1" si="30"/>
        <v>29.226932999999988</v>
      </c>
      <c r="U129" s="311">
        <f t="shared" ca="1" si="31"/>
        <v>0</v>
      </c>
      <c r="V129" s="306">
        <f t="shared" ca="1" si="32"/>
        <v>1.134637269047297</v>
      </c>
      <c r="W129" s="304">
        <f t="shared" ca="1" si="33"/>
        <v>60.512282220675459</v>
      </c>
      <c r="Y129" s="314" t="str">
        <f t="shared" ca="1" si="51"/>
        <v/>
      </c>
      <c r="Z129" s="315" t="str">
        <f t="shared" ca="1" si="52"/>
        <v/>
      </c>
      <c r="AA129" s="316" t="str">
        <f t="shared" ca="1" si="53"/>
        <v/>
      </c>
      <c r="AC129" s="310" t="e">
        <f t="shared" ca="1" si="54"/>
        <v>#N/A</v>
      </c>
      <c r="AD129" s="323" t="e">
        <f t="shared" ca="1" si="55"/>
        <v>#N/A</v>
      </c>
      <c r="AE129" s="324">
        <f t="shared" ca="1" si="34"/>
        <v>765.90357457090863</v>
      </c>
      <c r="AG129" s="306">
        <f t="shared" ca="1" si="56"/>
        <v>-29.834890769520214</v>
      </c>
      <c r="AH129" s="304">
        <f t="shared" ca="1" si="57"/>
        <v>-20.389248125880094</v>
      </c>
    </row>
    <row r="130" spans="1:34" x14ac:dyDescent="0.2">
      <c r="A130" s="347">
        <f t="shared" ca="1" si="35"/>
        <v>0.01</v>
      </c>
      <c r="B130" s="304">
        <f t="shared" ca="1" si="36"/>
        <v>5.8599999999999728</v>
      </c>
      <c r="D130" s="306">
        <f t="shared" ca="1" si="37"/>
        <v>-5.4872807219658783</v>
      </c>
      <c r="E130" s="307">
        <f t="shared" ca="1" si="38"/>
        <v>-29.365629687550665</v>
      </c>
      <c r="F130" s="304">
        <f t="shared" ca="1" si="39"/>
        <v>29.873909296709318</v>
      </c>
      <c r="G130" s="306">
        <f t="shared" ca="1" si="40"/>
        <v>43.544946757206262</v>
      </c>
      <c r="H130" s="307">
        <f t="shared" ca="1" si="41"/>
        <v>155.08784668197677</v>
      </c>
      <c r="I130" s="304">
        <f t="shared" ca="1" si="42"/>
        <v>161.08507868992788</v>
      </c>
      <c r="J130" s="306">
        <f t="shared" ca="1" si="43"/>
        <v>185.91535095598363</v>
      </c>
      <c r="K130" s="307">
        <f t="shared" ca="1" si="44"/>
        <v>767.45592131921273</v>
      </c>
      <c r="L130" s="304">
        <f t="shared" ca="1" si="29"/>
        <v>789.65379052405501</v>
      </c>
      <c r="M130" s="306">
        <f t="shared" ca="1" si="45"/>
        <v>1.297068175149787</v>
      </c>
      <c r="N130" s="304">
        <f t="shared" ca="1" si="46"/>
        <v>74.316532176818242</v>
      </c>
      <c r="P130" s="310">
        <f t="shared" ca="1" si="47"/>
        <v>13</v>
      </c>
      <c r="Q130" s="304">
        <f t="shared" ca="1" si="48"/>
        <v>0</v>
      </c>
      <c r="R130" s="306">
        <f t="shared" ca="1" si="49"/>
        <v>0</v>
      </c>
      <c r="S130" s="307">
        <f t="shared" ca="1" si="50"/>
        <v>2.9792999999999985</v>
      </c>
      <c r="T130" s="304">
        <f t="shared" ca="1" si="30"/>
        <v>29.226932999999988</v>
      </c>
      <c r="U130" s="311">
        <f t="shared" ca="1" si="31"/>
        <v>0</v>
      </c>
      <c r="V130" s="306">
        <f t="shared" ca="1" si="32"/>
        <v>1.1344608884999803</v>
      </c>
      <c r="W130" s="304">
        <f t="shared" ca="1" si="33"/>
        <v>60.279969569970085</v>
      </c>
      <c r="Y130" s="314" t="str">
        <f t="shared" ca="1" si="51"/>
        <v/>
      </c>
      <c r="Z130" s="315" t="str">
        <f t="shared" ca="1" si="52"/>
        <v/>
      </c>
      <c r="AA130" s="316" t="str">
        <f t="shared" ca="1" si="53"/>
        <v/>
      </c>
      <c r="AC130" s="310" t="e">
        <f t="shared" ca="1" si="54"/>
        <v>#N/A</v>
      </c>
      <c r="AD130" s="323" t="e">
        <f t="shared" ca="1" si="55"/>
        <v>#N/A</v>
      </c>
      <c r="AE130" s="324">
        <f t="shared" ca="1" si="34"/>
        <v>767.45592131921273</v>
      </c>
      <c r="AG130" s="306">
        <f t="shared" ca="1" si="56"/>
        <v>-29.756113768833224</v>
      </c>
      <c r="AH130" s="304">
        <f t="shared" ca="1" si="57"/>
        <v>-20.310905991566976</v>
      </c>
    </row>
    <row r="131" spans="1:34" x14ac:dyDescent="0.2">
      <c r="A131" s="347">
        <f t="shared" ca="1" si="35"/>
        <v>0.01</v>
      </c>
      <c r="B131" s="304">
        <f t="shared" ca="1" si="36"/>
        <v>5.8699999999999726</v>
      </c>
      <c r="D131" s="306">
        <f t="shared" ca="1" si="37"/>
        <v>-5.4694195427851433</v>
      </c>
      <c r="E131" s="307">
        <f t="shared" ca="1" si="38"/>
        <v>-29.289654073764474</v>
      </c>
      <c r="F131" s="304">
        <f t="shared" ca="1" si="39"/>
        <v>29.795945796295641</v>
      </c>
      <c r="G131" s="306">
        <f t="shared" ca="1" si="40"/>
        <v>43.490252561778412</v>
      </c>
      <c r="H131" s="307">
        <f t="shared" ca="1" si="41"/>
        <v>154.79495014123913</v>
      </c>
      <c r="I131" s="304">
        <f t="shared" ca="1" si="42"/>
        <v>160.78830385670463</v>
      </c>
      <c r="J131" s="306">
        <f t="shared" ca="1" si="43"/>
        <v>186.35052695257855</v>
      </c>
      <c r="K131" s="307">
        <f t="shared" ca="1" si="44"/>
        <v>769.00533530332882</v>
      </c>
      <c r="L131" s="304">
        <f t="shared" ca="1" si="29"/>
        <v>791.2621086722711</v>
      </c>
      <c r="M131" s="306">
        <f t="shared" ca="1" si="45"/>
        <v>1.2969032461573913</v>
      </c>
      <c r="N131" s="304">
        <f t="shared" ca="1" si="46"/>
        <v>74.30708244163462</v>
      </c>
      <c r="P131" s="310">
        <f t="shared" ca="1" si="47"/>
        <v>13</v>
      </c>
      <c r="Q131" s="304">
        <f t="shared" ca="1" si="48"/>
        <v>0</v>
      </c>
      <c r="R131" s="306">
        <f t="shared" ca="1" si="49"/>
        <v>0</v>
      </c>
      <c r="S131" s="307">
        <f t="shared" ca="1" si="50"/>
        <v>2.9792999999999985</v>
      </c>
      <c r="T131" s="304">
        <f t="shared" ca="1" si="30"/>
        <v>29.226932999999988</v>
      </c>
      <c r="U131" s="311">
        <f t="shared" ca="1" si="31"/>
        <v>0</v>
      </c>
      <c r="V131" s="306">
        <f t="shared" ca="1" si="32"/>
        <v>1.1342848674707302</v>
      </c>
      <c r="W131" s="304">
        <f t="shared" ca="1" si="33"/>
        <v>60.048742260000481</v>
      </c>
      <c r="Y131" s="314" t="str">
        <f t="shared" ca="1" si="51"/>
        <v/>
      </c>
      <c r="Z131" s="315" t="str">
        <f t="shared" ca="1" si="52"/>
        <v/>
      </c>
      <c r="AA131" s="316" t="str">
        <f t="shared" ca="1" si="53"/>
        <v/>
      </c>
      <c r="AC131" s="310" t="e">
        <f t="shared" ca="1" si="54"/>
        <v>#N/A</v>
      </c>
      <c r="AD131" s="323" t="e">
        <f t="shared" ca="1" si="55"/>
        <v>#N/A</v>
      </c>
      <c r="AE131" s="324">
        <f t="shared" ca="1" si="34"/>
        <v>769.00533530332882</v>
      </c>
      <c r="AG131" s="306">
        <f t="shared" ca="1" si="56"/>
        <v>-29.677702007060205</v>
      </c>
      <c r="AH131" s="304">
        <f t="shared" ca="1" si="57"/>
        <v>-20.232930409817779</v>
      </c>
    </row>
    <row r="132" spans="1:34" x14ac:dyDescent="0.2">
      <c r="A132" s="347">
        <f t="shared" ca="1" si="35"/>
        <v>0.01</v>
      </c>
      <c r="B132" s="304">
        <f t="shared" ca="1" si="36"/>
        <v>5.8799999999999724</v>
      </c>
      <c r="D132" s="306">
        <f t="shared" ca="1" si="37"/>
        <v>-5.4516398149064083</v>
      </c>
      <c r="E132" s="307">
        <f t="shared" ca="1" si="38"/>
        <v>-29.214033401224363</v>
      </c>
      <c r="F132" s="304">
        <f t="shared" ca="1" si="39"/>
        <v>29.718346593296967</v>
      </c>
      <c r="G132" s="306">
        <f t="shared" ca="1" si="40"/>
        <v>43.43573616362935</v>
      </c>
      <c r="H132" s="307">
        <f t="shared" ca="1" si="41"/>
        <v>154.5028098072269</v>
      </c>
      <c r="I132" s="304">
        <f t="shared" ca="1" si="42"/>
        <v>160.49230951794712</v>
      </c>
      <c r="J132" s="306">
        <f t="shared" ca="1" si="43"/>
        <v>186.78515689620559</v>
      </c>
      <c r="K132" s="307">
        <f t="shared" ca="1" si="44"/>
        <v>770.55182410307111</v>
      </c>
      <c r="L132" s="304">
        <f t="shared" ref="L132:L195" ca="1" si="58">SQRT(pos_x^2+pos_z^2)</f>
        <v>792.86745958281722</v>
      </c>
      <c r="M132" s="306">
        <f t="shared" ca="1" si="45"/>
        <v>1.2967379159317229</v>
      </c>
      <c r="N132" s="304">
        <f t="shared" ca="1" si="46"/>
        <v>74.297609717477883</v>
      </c>
      <c r="P132" s="310">
        <f t="shared" ca="1" si="47"/>
        <v>13</v>
      </c>
      <c r="Q132" s="304">
        <f t="shared" ca="1" si="48"/>
        <v>0</v>
      </c>
      <c r="R132" s="306">
        <f t="shared" ca="1" si="49"/>
        <v>0</v>
      </c>
      <c r="S132" s="307">
        <f t="shared" ca="1" si="50"/>
        <v>2.9792999999999985</v>
      </c>
      <c r="T132" s="304">
        <f t="shared" ref="T132:T195" ca="1" si="59">m*g</f>
        <v>29.226932999999988</v>
      </c>
      <c r="U132" s="311">
        <f t="shared" ref="U132:U195" ca="1" si="60">IF(pos_xz&lt;L_rampe,Poids*COS(Beta),0)</f>
        <v>0</v>
      </c>
      <c r="V132" s="306">
        <f t="shared" ref="V132:V195" ca="1" si="61">Rho_moyen*(20000-Alt_rampe-pos_z)/(20000+Alt_rampe+pos_z)</f>
        <v>1.1341092049436179</v>
      </c>
      <c r="W132" s="304">
        <f t="shared" ref="W132:W195" ca="1" si="62">1/2*Rho*Sref*Cx*vit_xz^2</f>
        <v>59.818593613730634</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770.55182410307111</v>
      </c>
      <c r="AG132" s="306">
        <f t="shared" ca="1" si="56"/>
        <v>-29.599653221260667</v>
      </c>
      <c r="AH132" s="304">
        <f t="shared" ca="1" si="57"/>
        <v>-20.155319121941567</v>
      </c>
    </row>
    <row r="133" spans="1:34" x14ac:dyDescent="0.2">
      <c r="A133" s="347">
        <f t="shared" ref="A133:A196" ca="1" si="64">IF(B132+0.01&lt;=T_ini+ROUNDUP(Temps_fin_propu,0), 0.01, IF(K132&gt;0, 0.1, 0.0001))</f>
        <v>0.01</v>
      </c>
      <c r="B133" s="304">
        <f t="shared" ref="B133:B196" ca="1" si="65">B132+pas</f>
        <v>5.8899999999999721</v>
      </c>
      <c r="D133" s="306">
        <f t="shared" ref="D133:D196" ca="1" si="66">IF(AND(L132&lt;L_rampe,Poussee&lt;Poids*SIN(M132)),0,(-W132+Poussee)/m*COS(M132)-U132/m*SIN(M132))</f>
        <v>-5.4339410336683418</v>
      </c>
      <c r="E133" s="307">
        <f t="shared" ref="E133:E196" ca="1" si="67">IF(AND(L132&lt;L_rampe,Poussee&lt;Poids*SIN(M132)),0,(-W132+Poussee)/m*SIN(M132)+U132/m*COS(M132)-Poids/m)</f>
        <v>-29.138765486229865</v>
      </c>
      <c r="F133" s="304">
        <f t="shared" ref="F133:F196" ca="1" si="68">SQRT(acc_x^2+acc_z^2)</f>
        <v>29.641109446491463</v>
      </c>
      <c r="G133" s="306">
        <f t="shared" ref="G133:G196" ca="1" si="69">G132+acc_x*pas</f>
        <v>43.38139675329267</v>
      </c>
      <c r="H133" s="307">
        <f t="shared" ref="H133:H196" ca="1" si="70">H132+acc_z*pas</f>
        <v>154.21142215236461</v>
      </c>
      <c r="I133" s="304">
        <f t="shared" ref="I133:I196" ca="1" si="71">SQRT(vit_x^2+vit_z^2)</f>
        <v>160.19709206637117</v>
      </c>
      <c r="J133" s="306">
        <f t="shared" ref="J133:J196" ca="1" si="72">J132+0.5*(vit_x+G132)*pas*(K132&gt;=0)</f>
        <v>187.21924256079021</v>
      </c>
      <c r="K133" s="307">
        <f t="shared" ref="K133:K196" ca="1" si="73">K132+0.5*(vit_z+H132)*pas</f>
        <v>772.09539526286903</v>
      </c>
      <c r="L133" s="304">
        <f t="shared" ca="1" si="58"/>
        <v>794.46985101460075</v>
      </c>
      <c r="M133" s="306">
        <f t="shared" ref="M133:M196" ca="1" si="74">IF(AND(L132&gt;L_rampe,G133&gt;0),ATAN2(G133,H133),$M$4)</f>
        <v>1.2965721835617718</v>
      </c>
      <c r="N133" s="304">
        <f t="shared" ref="N133:N196" ca="1" si="75">DEGREES(Beta)</f>
        <v>74.288113952150979</v>
      </c>
      <c r="P133" s="310">
        <f t="shared" ref="P133:P196" ca="1" si="76">MATCH(t-pas/2-T_ini,CdP_t)</f>
        <v>13</v>
      </c>
      <c r="Q133" s="304">
        <f t="shared" ref="Q133:Q196" ca="1" si="77">(INDEX(CdP,2,i_P+1)-INDEX(CdP,2,i_P+0))/(INDEX(CdP,1,i_P+1)-INDEX(CdP,1,i_P+0))*(t-pas/2-T_ini-INDEX(CdP,1,i_P+0))+INDEX(CdP,2,i_P+0)</f>
        <v>0</v>
      </c>
      <c r="R133" s="306">
        <f t="shared" ref="R133:R196" ca="1" si="78">Poussee/(g*ISP)</f>
        <v>0</v>
      </c>
      <c r="S133" s="307">
        <f t="shared" ref="S133:S196" ca="1" si="79">S132-Débit*pas</f>
        <v>2.9792999999999985</v>
      </c>
      <c r="T133" s="304">
        <f t="shared" ca="1" si="59"/>
        <v>29.226932999999988</v>
      </c>
      <c r="U133" s="311">
        <f t="shared" ca="1" si="60"/>
        <v>0</v>
      </c>
      <c r="V133" s="306">
        <f t="shared" ca="1" si="61"/>
        <v>1.1339338999075932</v>
      </c>
      <c r="W133" s="304">
        <f t="shared" ca="1" si="62"/>
        <v>59.589517005918339</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772.09539526286903</v>
      </c>
      <c r="AG133" s="306">
        <f t="shared" ref="AG133:AG196" ca="1" si="85">IF(AND(L132&lt;L_rampe,Poussee&lt;Poids*SIN(M132)),0,(-W132+Poussee)/m-Poids*SIN(M132)/m)</f>
        <v>-29.521965166023506</v>
      </c>
      <c r="AH133" s="304">
        <f t="shared" ref="AH133:AH196" ca="1" si="86">IF(AND(L132&lt;L_rampe,Poussee&lt;Poids*SIN(M132)), g*SIN(M132), (-W132+Poussee)/m)</f>
        <v>-20.078069886795777</v>
      </c>
    </row>
    <row r="134" spans="1:34" x14ac:dyDescent="0.2">
      <c r="A134" s="347">
        <f t="shared" ca="1" si="64"/>
        <v>0.01</v>
      </c>
      <c r="B134" s="304">
        <f t="shared" ca="1" si="65"/>
        <v>5.8999999999999719</v>
      </c>
      <c r="D134" s="306">
        <f t="shared" ca="1" si="66"/>
        <v>-5.4163226983209309</v>
      </c>
      <c r="E134" s="307">
        <f t="shared" ca="1" si="67"/>
        <v>-29.063848162019056</v>
      </c>
      <c r="F134" s="304">
        <f t="shared" ca="1" si="68"/>
        <v>29.564232132041667</v>
      </c>
      <c r="G134" s="306">
        <f t="shared" ca="1" si="69"/>
        <v>43.327233526309463</v>
      </c>
      <c r="H134" s="307">
        <f t="shared" ca="1" si="70"/>
        <v>153.92078367074441</v>
      </c>
      <c r="I134" s="304">
        <f t="shared" ca="1" si="71"/>
        <v>159.90264791697308</v>
      </c>
      <c r="J134" s="306">
        <f t="shared" ca="1" si="72"/>
        <v>187.65278571218821</v>
      </c>
      <c r="K134" s="307">
        <f t="shared" ca="1" si="73"/>
        <v>773.63605629198457</v>
      </c>
      <c r="L134" s="304">
        <f t="shared" ca="1" si="58"/>
        <v>796.06929069055241</v>
      </c>
      <c r="M134" s="306">
        <f t="shared" ca="1" si="74"/>
        <v>1.2964060481331161</v>
      </c>
      <c r="N134" s="304">
        <f t="shared" ca="1" si="75"/>
        <v>74.278595093261416</v>
      </c>
      <c r="P134" s="310">
        <f t="shared" ca="1" si="76"/>
        <v>13</v>
      </c>
      <c r="Q134" s="304">
        <f t="shared" ca="1" si="77"/>
        <v>0</v>
      </c>
      <c r="R134" s="306">
        <f t="shared" ca="1" si="78"/>
        <v>0</v>
      </c>
      <c r="S134" s="307">
        <f t="shared" ca="1" si="79"/>
        <v>2.9792999999999985</v>
      </c>
      <c r="T134" s="304">
        <f t="shared" ca="1" si="59"/>
        <v>29.226932999999988</v>
      </c>
      <c r="U134" s="311">
        <f t="shared" ca="1" si="60"/>
        <v>0</v>
      </c>
      <c r="V134" s="306">
        <f t="shared" ca="1" si="61"/>
        <v>1.1337589513564588</v>
      </c>
      <c r="W134" s="304">
        <f t="shared" ca="1" si="62"/>
        <v>59.36150586263296</v>
      </c>
      <c r="Y134" s="314" t="str">
        <f t="shared" ca="1" si="80"/>
        <v/>
      </c>
      <c r="Z134" s="315" t="str">
        <f t="shared" ca="1" si="81"/>
        <v/>
      </c>
      <c r="AA134" s="316" t="str">
        <f t="shared" ca="1" si="82"/>
        <v/>
      </c>
      <c r="AC134" s="310" t="e">
        <f t="shared" ca="1" si="83"/>
        <v>#N/A</v>
      </c>
      <c r="AD134" s="323" t="e">
        <f t="shared" ca="1" si="84"/>
        <v>#N/A</v>
      </c>
      <c r="AE134" s="324">
        <f t="shared" ca="1" si="63"/>
        <v>773.63605629198457</v>
      </c>
      <c r="AG134" s="306">
        <f t="shared" ca="1" si="85"/>
        <v>-29.444635613303127</v>
      </c>
      <c r="AH134" s="304">
        <f t="shared" ca="1" si="86"/>
        <v>-20.001180480622416</v>
      </c>
    </row>
    <row r="135" spans="1:34" x14ac:dyDescent="0.2">
      <c r="A135" s="347">
        <f t="shared" ca="1" si="64"/>
        <v>0.01</v>
      </c>
      <c r="B135" s="304">
        <f t="shared" ca="1" si="65"/>
        <v>5.9099999999999717</v>
      </c>
      <c r="D135" s="306">
        <f t="shared" ca="1" si="66"/>
        <v>-5.3987843119890631</v>
      </c>
      <c r="E135" s="307">
        <f t="shared" ca="1" si="67"/>
        <v>-28.98927927861078</v>
      </c>
      <c r="F135" s="304">
        <f t="shared" ca="1" si="68"/>
        <v>29.48771244333259</v>
      </c>
      <c r="G135" s="306">
        <f t="shared" ca="1" si="69"/>
        <v>43.273245683189572</v>
      </c>
      <c r="H135" s="307">
        <f t="shared" ca="1" si="70"/>
        <v>153.63089087795831</v>
      </c>
      <c r="I135" s="304">
        <f t="shared" ca="1" si="71"/>
        <v>159.60897350685775</v>
      </c>
      <c r="J135" s="306">
        <f t="shared" ca="1" si="72"/>
        <v>188.0857881082357</v>
      </c>
      <c r="K135" s="307">
        <f t="shared" ca="1" si="73"/>
        <v>775.17381466472807</v>
      </c>
      <c r="L135" s="304">
        <f t="shared" ca="1" si="58"/>
        <v>797.66578629784692</v>
      </c>
      <c r="M135" s="306">
        <f t="shared" ca="1" si="74"/>
        <v>1.2962395087279093</v>
      </c>
      <c r="N135" s="304">
        <f t="shared" ca="1" si="75"/>
        <v>74.269053088220446</v>
      </c>
      <c r="P135" s="310">
        <f t="shared" ca="1" si="76"/>
        <v>13</v>
      </c>
      <c r="Q135" s="304">
        <f t="shared" ca="1" si="77"/>
        <v>0</v>
      </c>
      <c r="R135" s="306">
        <f t="shared" ca="1" si="78"/>
        <v>0</v>
      </c>
      <c r="S135" s="307">
        <f t="shared" ca="1" si="79"/>
        <v>2.9792999999999985</v>
      </c>
      <c r="T135" s="304">
        <f t="shared" ca="1" si="59"/>
        <v>29.226932999999988</v>
      </c>
      <c r="U135" s="311">
        <f t="shared" ca="1" si="60"/>
        <v>0</v>
      </c>
      <c r="V135" s="306">
        <f t="shared" ca="1" si="61"/>
        <v>1.1335843582888341</v>
      </c>
      <c r="W135" s="304">
        <f t="shared" ca="1" si="62"/>
        <v>59.134553660778096</v>
      </c>
      <c r="Y135" s="314" t="str">
        <f t="shared" ca="1" si="80"/>
        <v/>
      </c>
      <c r="Z135" s="315" t="str">
        <f t="shared" ca="1" si="81"/>
        <v/>
      </c>
      <c r="AA135" s="316" t="str">
        <f t="shared" ca="1" si="82"/>
        <v/>
      </c>
      <c r="AC135" s="310" t="e">
        <f t="shared" ca="1" si="83"/>
        <v>#N/A</v>
      </c>
      <c r="AD135" s="323" t="e">
        <f t="shared" ca="1" si="84"/>
        <v>#N/A</v>
      </c>
      <c r="AE135" s="324">
        <f t="shared" ca="1" si="63"/>
        <v>775.17381466472807</v>
      </c>
      <c r="AG135" s="306">
        <f t="shared" ca="1" si="85"/>
        <v>-29.367662352257458</v>
      </c>
      <c r="AH135" s="304">
        <f t="shared" ca="1" si="86"/>
        <v>-19.924648696886177</v>
      </c>
    </row>
    <row r="136" spans="1:34" x14ac:dyDescent="0.2">
      <c r="A136" s="347">
        <f t="shared" ca="1" si="64"/>
        <v>0.01</v>
      </c>
      <c r="B136" s="304">
        <f t="shared" ca="1" si="65"/>
        <v>5.9199999999999715</v>
      </c>
      <c r="D136" s="306">
        <f t="shared" ca="1" si="66"/>
        <v>-5.3813253816364606</v>
      </c>
      <c r="E136" s="307">
        <f t="shared" ca="1" si="67"/>
        <v>-28.915056702648556</v>
      </c>
      <c r="F136" s="304">
        <f t="shared" ca="1" si="68"/>
        <v>29.41154819081148</v>
      </c>
      <c r="G136" s="306">
        <f t="shared" ca="1" si="69"/>
        <v>43.219432429373207</v>
      </c>
      <c r="H136" s="307">
        <f t="shared" ca="1" si="70"/>
        <v>153.34174031093181</v>
      </c>
      <c r="I136" s="304">
        <f t="shared" ca="1" si="71"/>
        <v>159.31606529506811</v>
      </c>
      <c r="J136" s="306">
        <f t="shared" ca="1" si="72"/>
        <v>188.51825149879852</v>
      </c>
      <c r="K136" s="307">
        <f t="shared" ca="1" si="73"/>
        <v>776.70867782067251</v>
      </c>
      <c r="L136" s="304">
        <f t="shared" ca="1" si="58"/>
        <v>799.25934548812222</v>
      </c>
      <c r="M136" s="306">
        <f t="shared" ca="1" si="74"/>
        <v>1.2960725644248658</v>
      </c>
      <c r="N136" s="304">
        <f t="shared" ca="1" si="75"/>
        <v>74.259487884242304</v>
      </c>
      <c r="P136" s="310">
        <f t="shared" ca="1" si="76"/>
        <v>13</v>
      </c>
      <c r="Q136" s="304">
        <f t="shared" ca="1" si="77"/>
        <v>0</v>
      </c>
      <c r="R136" s="306">
        <f t="shared" ca="1" si="78"/>
        <v>0</v>
      </c>
      <c r="S136" s="307">
        <f t="shared" ca="1" si="79"/>
        <v>2.9792999999999985</v>
      </c>
      <c r="T136" s="304">
        <f t="shared" ca="1" si="59"/>
        <v>29.226932999999988</v>
      </c>
      <c r="U136" s="311">
        <f t="shared" ca="1" si="60"/>
        <v>0</v>
      </c>
      <c r="V136" s="306">
        <f t="shared" ca="1" si="61"/>
        <v>1.1334101197081303</v>
      </c>
      <c r="W136" s="304">
        <f t="shared" ca="1" si="62"/>
        <v>58.908653927619632</v>
      </c>
      <c r="Y136" s="314" t="str">
        <f t="shared" ca="1" si="80"/>
        <v/>
      </c>
      <c r="Z136" s="315" t="str">
        <f t="shared" ca="1" si="81"/>
        <v/>
      </c>
      <c r="AA136" s="316" t="str">
        <f t="shared" ca="1" si="82"/>
        <v/>
      </c>
      <c r="AC136" s="310" t="e">
        <f t="shared" ca="1" si="83"/>
        <v>#N/A</v>
      </c>
      <c r="AD136" s="323" t="e">
        <f t="shared" ca="1" si="84"/>
        <v>#N/A</v>
      </c>
      <c r="AE136" s="324">
        <f t="shared" ca="1" si="63"/>
        <v>776.70867782067251</v>
      </c>
      <c r="AG136" s="306">
        <f t="shared" ca="1" si="85"/>
        <v>-29.291043189087645</v>
      </c>
      <c r="AH136" s="304">
        <f t="shared" ca="1" si="86"/>
        <v>-19.848472346114232</v>
      </c>
    </row>
    <row r="137" spans="1:34" x14ac:dyDescent="0.2">
      <c r="A137" s="347">
        <f t="shared" ca="1" si="64"/>
        <v>0.01</v>
      </c>
      <c r="B137" s="304">
        <f t="shared" ca="1" si="65"/>
        <v>5.9299999999999713</v>
      </c>
      <c r="D137" s="306">
        <f t="shared" ca="1" si="66"/>
        <v>-5.3639454180300508</v>
      </c>
      <c r="E137" s="307">
        <f t="shared" ca="1" si="67"/>
        <v>-28.841178317246239</v>
      </c>
      <c r="F137" s="304">
        <f t="shared" ca="1" si="68"/>
        <v>29.335737201829446</v>
      </c>
      <c r="G137" s="306">
        <f t="shared" ca="1" si="69"/>
        <v>43.165792975192907</v>
      </c>
      <c r="H137" s="307">
        <f t="shared" ca="1" si="70"/>
        <v>153.05332852775936</v>
      </c>
      <c r="I137" s="304">
        <f t="shared" ca="1" si="71"/>
        <v>159.02391976241643</v>
      </c>
      <c r="J137" s="306">
        <f t="shared" ca="1" si="72"/>
        <v>188.95017762582134</v>
      </c>
      <c r="K137" s="307">
        <f t="shared" ca="1" si="73"/>
        <v>778.24065316486599</v>
      </c>
      <c r="L137" s="304">
        <f t="shared" ca="1" si="58"/>
        <v>800.84997587769624</v>
      </c>
      <c r="M137" s="306">
        <f t="shared" ca="1" si="74"/>
        <v>1.2959052142992491</v>
      </c>
      <c r="N137" s="304">
        <f t="shared" ca="1" si="75"/>
        <v>74.249899428343468</v>
      </c>
      <c r="P137" s="310">
        <f t="shared" ca="1" si="76"/>
        <v>13</v>
      </c>
      <c r="Q137" s="304">
        <f t="shared" ca="1" si="77"/>
        <v>0</v>
      </c>
      <c r="R137" s="306">
        <f t="shared" ca="1" si="78"/>
        <v>0</v>
      </c>
      <c r="S137" s="307">
        <f t="shared" ca="1" si="79"/>
        <v>2.9792999999999985</v>
      </c>
      <c r="T137" s="304">
        <f t="shared" ca="1" si="59"/>
        <v>29.226932999999988</v>
      </c>
      <c r="U137" s="311">
        <f t="shared" ca="1" si="60"/>
        <v>0</v>
      </c>
      <c r="V137" s="306">
        <f t="shared" ca="1" si="61"/>
        <v>1.133236234622516</v>
      </c>
      <c r="W137" s="304">
        <f t="shared" ca="1" si="62"/>
        <v>58.683800240318739</v>
      </c>
      <c r="Y137" s="314" t="str">
        <f t="shared" ca="1" si="80"/>
        <v/>
      </c>
      <c r="Z137" s="315" t="str">
        <f t="shared" ca="1" si="81"/>
        <v/>
      </c>
      <c r="AA137" s="316" t="str">
        <f t="shared" ca="1" si="82"/>
        <v/>
      </c>
      <c r="AC137" s="310" t="e">
        <f t="shared" ca="1" si="83"/>
        <v>#N/A</v>
      </c>
      <c r="AD137" s="323" t="e">
        <f t="shared" ca="1" si="84"/>
        <v>#N/A</v>
      </c>
      <c r="AE137" s="324">
        <f t="shared" ca="1" si="63"/>
        <v>778.24065316486599</v>
      </c>
      <c r="AG137" s="306">
        <f t="shared" ca="1" si="85"/>
        <v>-29.214775946879541</v>
      </c>
      <c r="AH137" s="304">
        <f t="shared" ca="1" si="86"/>
        <v>-19.772649255737811</v>
      </c>
    </row>
    <row r="138" spans="1:34" x14ac:dyDescent="0.2">
      <c r="A138" s="347">
        <f t="shared" ca="1" si="64"/>
        <v>0.01</v>
      </c>
      <c r="B138" s="304">
        <f t="shared" ca="1" si="65"/>
        <v>5.9399999999999711</v>
      </c>
      <c r="D138" s="306">
        <f t="shared" ca="1" si="66"/>
        <v>-5.346643935704674</v>
      </c>
      <c r="E138" s="307">
        <f t="shared" ca="1" si="67"/>
        <v>-28.767642021835293</v>
      </c>
      <c r="F138" s="304">
        <f t="shared" ca="1" si="68"/>
        <v>29.2602773204847</v>
      </c>
      <c r="G138" s="306">
        <f t="shared" ca="1" si="69"/>
        <v>43.112326535835862</v>
      </c>
      <c r="H138" s="307">
        <f t="shared" ca="1" si="70"/>
        <v>152.765652107541</v>
      </c>
      <c r="I138" s="304">
        <f t="shared" ca="1" si="71"/>
        <v>158.73253341131672</v>
      </c>
      <c r="J138" s="306">
        <f t="shared" ca="1" si="72"/>
        <v>189.38156822337649</v>
      </c>
      <c r="K138" s="307">
        <f t="shared" ca="1" si="73"/>
        <v>779.76974806804253</v>
      </c>
      <c r="L138" s="304">
        <f t="shared" ca="1" si="58"/>
        <v>802.43768504778234</v>
      </c>
      <c r="M138" s="306">
        <f t="shared" ca="1" si="74"/>
        <v>1.2957374574228553</v>
      </c>
      <c r="N138" s="304">
        <f t="shared" ca="1" si="75"/>
        <v>74.240287667341804</v>
      </c>
      <c r="P138" s="310">
        <f t="shared" ca="1" si="76"/>
        <v>13</v>
      </c>
      <c r="Q138" s="304">
        <f t="shared" ca="1" si="77"/>
        <v>0</v>
      </c>
      <c r="R138" s="306">
        <f t="shared" ca="1" si="78"/>
        <v>0</v>
      </c>
      <c r="S138" s="307">
        <f t="shared" ca="1" si="79"/>
        <v>2.9792999999999985</v>
      </c>
      <c r="T138" s="304">
        <f t="shared" ca="1" si="59"/>
        <v>29.226932999999988</v>
      </c>
      <c r="U138" s="311">
        <f t="shared" ca="1" si="60"/>
        <v>0</v>
      </c>
      <c r="V138" s="306">
        <f t="shared" ca="1" si="61"/>
        <v>1.1330627020448905</v>
      </c>
      <c r="W138" s="304">
        <f t="shared" ca="1" si="62"/>
        <v>58.459986225470054</v>
      </c>
      <c r="Y138" s="314" t="str">
        <f t="shared" ca="1" si="80"/>
        <v/>
      </c>
      <c r="Z138" s="315" t="str">
        <f t="shared" ca="1" si="81"/>
        <v/>
      </c>
      <c r="AA138" s="316" t="str">
        <f t="shared" ca="1" si="82"/>
        <v/>
      </c>
      <c r="AC138" s="310" t="e">
        <f t="shared" ca="1" si="83"/>
        <v>#N/A</v>
      </c>
      <c r="AD138" s="323" t="e">
        <f t="shared" ca="1" si="84"/>
        <v>#N/A</v>
      </c>
      <c r="AE138" s="324">
        <f t="shared" ca="1" si="63"/>
        <v>779.76974806804253</v>
      </c>
      <c r="AG138" s="306">
        <f t="shared" ca="1" si="85"/>
        <v>-29.138858465446869</v>
      </c>
      <c r="AH138" s="304">
        <f t="shared" ca="1" si="86"/>
        <v>-19.697177269935477</v>
      </c>
    </row>
    <row r="139" spans="1:34" x14ac:dyDescent="0.2">
      <c r="A139" s="347">
        <f t="shared" ca="1" si="64"/>
        <v>0.01</v>
      </c>
      <c r="B139" s="304">
        <f t="shared" ca="1" si="65"/>
        <v>5.9499999999999709</v>
      </c>
      <c r="D139" s="306">
        <f t="shared" ca="1" si="66"/>
        <v>-5.3294204529282325</v>
      </c>
      <c r="E139" s="307">
        <f t="shared" ca="1" si="67"/>
        <v>-28.694445732013733</v>
      </c>
      <c r="F139" s="304">
        <f t="shared" ca="1" si="68"/>
        <v>29.185166407467527</v>
      </c>
      <c r="G139" s="306">
        <f t="shared" ca="1" si="69"/>
        <v>43.059032331306582</v>
      </c>
      <c r="H139" s="307">
        <f t="shared" ca="1" si="70"/>
        <v>152.47870765022085</v>
      </c>
      <c r="I139" s="304">
        <f t="shared" ca="1" si="71"/>
        <v>158.44190276561952</v>
      </c>
      <c r="J139" s="306">
        <f t="shared" ca="1" si="72"/>
        <v>189.8124250177122</v>
      </c>
      <c r="K139" s="307">
        <f t="shared" ca="1" si="73"/>
        <v>781.29596986683134</v>
      </c>
      <c r="L139" s="304">
        <f t="shared" ca="1" si="58"/>
        <v>804.02248054470294</v>
      </c>
      <c r="M139" s="306">
        <f t="shared" ca="1" si="74"/>
        <v>1.2955692928640017</v>
      </c>
      <c r="N139" s="304">
        <f t="shared" ca="1" si="75"/>
        <v>74.230652547855826</v>
      </c>
      <c r="P139" s="310">
        <f t="shared" ca="1" si="76"/>
        <v>13</v>
      </c>
      <c r="Q139" s="304">
        <f t="shared" ca="1" si="77"/>
        <v>0</v>
      </c>
      <c r="R139" s="306">
        <f t="shared" ca="1" si="78"/>
        <v>0</v>
      </c>
      <c r="S139" s="307">
        <f t="shared" ca="1" si="79"/>
        <v>2.9792999999999985</v>
      </c>
      <c r="T139" s="304">
        <f t="shared" ca="1" si="59"/>
        <v>29.226932999999988</v>
      </c>
      <c r="U139" s="311">
        <f t="shared" ca="1" si="60"/>
        <v>0</v>
      </c>
      <c r="V139" s="306">
        <f t="shared" ca="1" si="61"/>
        <v>1.1328895209928527</v>
      </c>
      <c r="W139" s="304">
        <f t="shared" ca="1" si="62"/>
        <v>58.237205558644959</v>
      </c>
      <c r="Y139" s="314" t="str">
        <f t="shared" ca="1" si="80"/>
        <v/>
      </c>
      <c r="Z139" s="315" t="str">
        <f t="shared" ca="1" si="81"/>
        <v/>
      </c>
      <c r="AA139" s="316" t="str">
        <f t="shared" ca="1" si="82"/>
        <v/>
      </c>
      <c r="AC139" s="310" t="e">
        <f t="shared" ca="1" si="83"/>
        <v>#N/A</v>
      </c>
      <c r="AD139" s="323" t="e">
        <f t="shared" ca="1" si="84"/>
        <v>#N/A</v>
      </c>
      <c r="AE139" s="324">
        <f t="shared" ca="1" si="63"/>
        <v>781.29596986683134</v>
      </c>
      <c r="AG139" s="306">
        <f t="shared" ca="1" si="85"/>
        <v>-29.063288601176115</v>
      </c>
      <c r="AH139" s="304">
        <f t="shared" ca="1" si="86"/>
        <v>-19.622054249478094</v>
      </c>
    </row>
    <row r="140" spans="1:34" x14ac:dyDescent="0.2">
      <c r="A140" s="347">
        <f t="shared" ca="1" si="64"/>
        <v>0.01</v>
      </c>
      <c r="B140" s="304">
        <f t="shared" ca="1" si="65"/>
        <v>5.9599999999999707</v>
      </c>
      <c r="D140" s="306">
        <f t="shared" ca="1" si="66"/>
        <v>-5.3122744916671722</v>
      </c>
      <c r="E140" s="307">
        <f t="shared" ca="1" si="67"/>
        <v>-28.621587379396779</v>
      </c>
      <c r="F140" s="304">
        <f t="shared" ca="1" si="68"/>
        <v>29.110402339906997</v>
      </c>
      <c r="G140" s="306">
        <f t="shared" ca="1" si="69"/>
        <v>43.005909586389912</v>
      </c>
      <c r="H140" s="307">
        <f t="shared" ca="1" si="70"/>
        <v>152.19249177642689</v>
      </c>
      <c r="I140" s="304">
        <f t="shared" ca="1" si="71"/>
        <v>158.15202437044715</v>
      </c>
      <c r="J140" s="306">
        <f t="shared" ca="1" si="72"/>
        <v>190.24274972730069</v>
      </c>
      <c r="K140" s="307">
        <f t="shared" ca="1" si="73"/>
        <v>782.81932586396454</v>
      </c>
      <c r="L140" s="304">
        <f t="shared" ca="1" si="58"/>
        <v>805.60436988010201</v>
      </c>
      <c r="M140" s="306">
        <f t="shared" ca="1" si="74"/>
        <v>1.2954007196875115</v>
      </c>
      <c r="N140" s="304">
        <f t="shared" ca="1" si="75"/>
        <v>74.22099401630382</v>
      </c>
      <c r="P140" s="310">
        <f t="shared" ca="1" si="76"/>
        <v>13</v>
      </c>
      <c r="Q140" s="304">
        <f t="shared" ca="1" si="77"/>
        <v>0</v>
      </c>
      <c r="R140" s="306">
        <f t="shared" ca="1" si="78"/>
        <v>0</v>
      </c>
      <c r="S140" s="307">
        <f t="shared" ca="1" si="79"/>
        <v>2.9792999999999985</v>
      </c>
      <c r="T140" s="304">
        <f t="shared" ca="1" si="59"/>
        <v>29.226932999999988</v>
      </c>
      <c r="U140" s="311">
        <f t="shared" ca="1" si="60"/>
        <v>0</v>
      </c>
      <c r="V140" s="306">
        <f t="shared" ca="1" si="61"/>
        <v>1.1327166904886719</v>
      </c>
      <c r="W140" s="304">
        <f t="shared" ca="1" si="62"/>
        <v>58.015451963939334</v>
      </c>
      <c r="Y140" s="314" t="str">
        <f t="shared" ca="1" si="80"/>
        <v/>
      </c>
      <c r="Z140" s="315" t="str">
        <f t="shared" ca="1" si="81"/>
        <v/>
      </c>
      <c r="AA140" s="316" t="str">
        <f t="shared" ca="1" si="82"/>
        <v/>
      </c>
      <c r="AC140" s="310" t="e">
        <f t="shared" ca="1" si="83"/>
        <v>#N/A</v>
      </c>
      <c r="AD140" s="323" t="e">
        <f t="shared" ca="1" si="84"/>
        <v>#N/A</v>
      </c>
      <c r="AE140" s="324">
        <f t="shared" ca="1" si="63"/>
        <v>782.81932586396454</v>
      </c>
      <c r="AG140" s="306">
        <f t="shared" ca="1" si="85"/>
        <v>-28.988064226873121</v>
      </c>
      <c r="AH140" s="304">
        <f t="shared" ca="1" si="86"/>
        <v>-19.547278071575533</v>
      </c>
    </row>
    <row r="141" spans="1:34" x14ac:dyDescent="0.2">
      <c r="A141" s="347">
        <f t="shared" ca="1" si="64"/>
        <v>0.01</v>
      </c>
      <c r="B141" s="304">
        <f t="shared" ca="1" si="65"/>
        <v>5.9699999999999704</v>
      </c>
      <c r="D141" s="306">
        <f t="shared" ca="1" si="66"/>
        <v>-5.295205577552343</v>
      </c>
      <c r="E141" s="307">
        <f t="shared" ca="1" si="67"/>
        <v>-28.549064911468939</v>
      </c>
      <c r="F141" s="304">
        <f t="shared" ca="1" si="68"/>
        <v>29.035983011219173</v>
      </c>
      <c r="G141" s="306">
        <f t="shared" ca="1" si="69"/>
        <v>42.952957530614391</v>
      </c>
      <c r="H141" s="307">
        <f t="shared" ca="1" si="70"/>
        <v>151.90700112731221</v>
      </c>
      <c r="I141" s="304">
        <f t="shared" ca="1" si="71"/>
        <v>157.86289479203148</v>
      </c>
      <c r="J141" s="306">
        <f t="shared" ca="1" si="72"/>
        <v>190.67254406288572</v>
      </c>
      <c r="K141" s="307">
        <f t="shared" ca="1" si="73"/>
        <v>784.33982332848325</v>
      </c>
      <c r="L141" s="304">
        <f t="shared" ca="1" si="58"/>
        <v>807.18336053115559</v>
      </c>
      <c r="M141" s="306">
        <f t="shared" ca="1" si="74"/>
        <v>1.2952317369547004</v>
      </c>
      <c r="N141" s="304">
        <f t="shared" ca="1" si="75"/>
        <v>74.211312018903158</v>
      </c>
      <c r="P141" s="310">
        <f t="shared" ca="1" si="76"/>
        <v>13</v>
      </c>
      <c r="Q141" s="304">
        <f t="shared" ca="1" si="77"/>
        <v>0</v>
      </c>
      <c r="R141" s="306">
        <f t="shared" ca="1" si="78"/>
        <v>0</v>
      </c>
      <c r="S141" s="307">
        <f t="shared" ca="1" si="79"/>
        <v>2.9792999999999985</v>
      </c>
      <c r="T141" s="304">
        <f t="shared" ca="1" si="59"/>
        <v>29.226932999999988</v>
      </c>
      <c r="U141" s="311">
        <f t="shared" ca="1" si="60"/>
        <v>0</v>
      </c>
      <c r="V141" s="306">
        <f t="shared" ca="1" si="61"/>
        <v>1.1325442095592602</v>
      </c>
      <c r="W141" s="304">
        <f t="shared" ca="1" si="62"/>
        <v>57.794719213526868</v>
      </c>
      <c r="Y141" s="314" t="str">
        <f t="shared" ca="1" si="80"/>
        <v/>
      </c>
      <c r="Z141" s="315" t="str">
        <f t="shared" ca="1" si="81"/>
        <v/>
      </c>
      <c r="AA141" s="316" t="str">
        <f t="shared" ca="1" si="82"/>
        <v/>
      </c>
      <c r="AC141" s="310" t="e">
        <f t="shared" ca="1" si="83"/>
        <v>#N/A</v>
      </c>
      <c r="AD141" s="323" t="e">
        <f t="shared" ca="1" si="84"/>
        <v>#N/A</v>
      </c>
      <c r="AE141" s="324">
        <f t="shared" ca="1" si="63"/>
        <v>784.33982332848325</v>
      </c>
      <c r="AG141" s="306">
        <f t="shared" ca="1" si="85"/>
        <v>-28.9131832316112</v>
      </c>
      <c r="AH141" s="304">
        <f t="shared" ca="1" si="86"/>
        <v>-19.472846629724888</v>
      </c>
    </row>
    <row r="142" spans="1:34" x14ac:dyDescent="0.2">
      <c r="A142" s="347">
        <f t="shared" ca="1" si="64"/>
        <v>0.01</v>
      </c>
      <c r="B142" s="304">
        <f t="shared" ca="1" si="65"/>
        <v>5.9799999999999702</v>
      </c>
      <c r="D142" s="306">
        <f t="shared" ca="1" si="66"/>
        <v>-5.2782132398452539</v>
      </c>
      <c r="E142" s="307">
        <f t="shared" ca="1" si="67"/>
        <v>-28.476876291437954</v>
      </c>
      <c r="F142" s="304">
        <f t="shared" ca="1" si="68"/>
        <v>28.961906330957202</v>
      </c>
      <c r="G142" s="306">
        <f t="shared" ca="1" si="69"/>
        <v>42.900175398215936</v>
      </c>
      <c r="H142" s="307">
        <f t="shared" ca="1" si="70"/>
        <v>151.62223236439783</v>
      </c>
      <c r="I142" s="304">
        <f t="shared" ca="1" si="71"/>
        <v>157.57451061755242</v>
      </c>
      <c r="J142" s="306">
        <f t="shared" ca="1" si="72"/>
        <v>191.10180972752988</v>
      </c>
      <c r="K142" s="307">
        <f t="shared" ca="1" si="73"/>
        <v>785.85746949594181</v>
      </c>
      <c r="L142" s="304">
        <f t="shared" ca="1" si="58"/>
        <v>808.75945994078006</v>
      </c>
      <c r="M142" s="306">
        <f t="shared" ca="1" si="74"/>
        <v>1.295062343723363</v>
      </c>
      <c r="N142" s="304">
        <f t="shared" ca="1" si="75"/>
        <v>74.201606501669445</v>
      </c>
      <c r="P142" s="310">
        <f t="shared" ca="1" si="76"/>
        <v>13</v>
      </c>
      <c r="Q142" s="304">
        <f t="shared" ca="1" si="77"/>
        <v>0</v>
      </c>
      <c r="R142" s="306">
        <f t="shared" ca="1" si="78"/>
        <v>0</v>
      </c>
      <c r="S142" s="307">
        <f t="shared" ca="1" si="79"/>
        <v>2.9792999999999985</v>
      </c>
      <c r="T142" s="304">
        <f t="shared" ca="1" si="59"/>
        <v>29.226932999999988</v>
      </c>
      <c r="U142" s="311">
        <f t="shared" ca="1" si="60"/>
        <v>0</v>
      </c>
      <c r="V142" s="306">
        <f t="shared" ca="1" si="61"/>
        <v>1.1323720772361408</v>
      </c>
      <c r="W142" s="304">
        <f t="shared" ca="1" si="62"/>
        <v>57.575001127216453</v>
      </c>
      <c r="Y142" s="314" t="str">
        <f t="shared" ca="1" si="80"/>
        <v/>
      </c>
      <c r="Z142" s="315" t="str">
        <f t="shared" ca="1" si="81"/>
        <v/>
      </c>
      <c r="AA142" s="316" t="str">
        <f t="shared" ca="1" si="82"/>
        <v/>
      </c>
      <c r="AC142" s="310" t="e">
        <f t="shared" ca="1" si="83"/>
        <v>#N/A</v>
      </c>
      <c r="AD142" s="323" t="e">
        <f t="shared" ca="1" si="84"/>
        <v>#N/A</v>
      </c>
      <c r="AE142" s="324">
        <f t="shared" ca="1" si="63"/>
        <v>785.85746949594181</v>
      </c>
      <c r="AG142" s="306">
        <f t="shared" ca="1" si="85"/>
        <v>-28.838643520581108</v>
      </c>
      <c r="AH142" s="304">
        <f t="shared" ca="1" si="86"/>
        <v>-19.398757833560534</v>
      </c>
    </row>
    <row r="143" spans="1:34" x14ac:dyDescent="0.2">
      <c r="A143" s="347">
        <f t="shared" ca="1" si="64"/>
        <v>0.01</v>
      </c>
      <c r="B143" s="304">
        <f t="shared" ca="1" si="65"/>
        <v>5.98999999999997</v>
      </c>
      <c r="D143" s="306">
        <f t="shared" ca="1" si="66"/>
        <v>-5.2612970114046362</v>
      </c>
      <c r="E143" s="307">
        <f t="shared" ca="1" si="67"/>
        <v>-28.405019498089992</v>
      </c>
      <c r="F143" s="304">
        <f t="shared" ca="1" si="68"/>
        <v>28.888170224662691</v>
      </c>
      <c r="G143" s="306">
        <f t="shared" ca="1" si="69"/>
        <v>42.847562428101888</v>
      </c>
      <c r="H143" s="307">
        <f t="shared" ca="1" si="70"/>
        <v>151.33818216941694</v>
      </c>
      <c r="I143" s="304">
        <f t="shared" ca="1" si="71"/>
        <v>157.2868684549785</v>
      </c>
      <c r="J143" s="306">
        <f t="shared" ca="1" si="72"/>
        <v>191.53054841666147</v>
      </c>
      <c r="K143" s="307">
        <f t="shared" ca="1" si="73"/>
        <v>787.37227156861093</v>
      </c>
      <c r="L143" s="304">
        <f t="shared" ca="1" si="58"/>
        <v>810.33267551784036</v>
      </c>
      <c r="M143" s="306">
        <f t="shared" ca="1" si="74"/>
        <v>1.2948925390477575</v>
      </c>
      <c r="N143" s="304">
        <f t="shared" ca="1" si="75"/>
        <v>74.191877410415657</v>
      </c>
      <c r="P143" s="310">
        <f t="shared" ca="1" si="76"/>
        <v>13</v>
      </c>
      <c r="Q143" s="304">
        <f t="shared" ca="1" si="77"/>
        <v>0</v>
      </c>
      <c r="R143" s="306">
        <f t="shared" ca="1" si="78"/>
        <v>0</v>
      </c>
      <c r="S143" s="307">
        <f t="shared" ca="1" si="79"/>
        <v>2.9792999999999985</v>
      </c>
      <c r="T143" s="304">
        <f t="shared" ca="1" si="59"/>
        <v>29.226932999999988</v>
      </c>
      <c r="U143" s="311">
        <f t="shared" ca="1" si="60"/>
        <v>0</v>
      </c>
      <c r="V143" s="306">
        <f t="shared" ca="1" si="61"/>
        <v>1.132200292555422</v>
      </c>
      <c r="W143" s="304">
        <f t="shared" ca="1" si="62"/>
        <v>57.356291572014968</v>
      </c>
      <c r="Y143" s="314" t="str">
        <f t="shared" ca="1" si="80"/>
        <v/>
      </c>
      <c r="Z143" s="315" t="str">
        <f t="shared" ca="1" si="81"/>
        <v/>
      </c>
      <c r="AA143" s="316" t="str">
        <f t="shared" ca="1" si="82"/>
        <v/>
      </c>
      <c r="AC143" s="310" t="e">
        <f t="shared" ca="1" si="83"/>
        <v>#N/A</v>
      </c>
      <c r="AD143" s="323" t="e">
        <f t="shared" ca="1" si="84"/>
        <v>#N/A</v>
      </c>
      <c r="AE143" s="324">
        <f t="shared" ca="1" si="63"/>
        <v>787.37227156861093</v>
      </c>
      <c r="AG143" s="306">
        <f t="shared" ca="1" si="85"/>
        <v>-28.764443014942383</v>
      </c>
      <c r="AH143" s="304">
        <f t="shared" ca="1" si="86"/>
        <v>-19.325009608705564</v>
      </c>
    </row>
    <row r="144" spans="1:34" x14ac:dyDescent="0.2">
      <c r="A144" s="347">
        <f t="shared" ca="1" si="64"/>
        <v>0.01</v>
      </c>
      <c r="B144" s="304">
        <f t="shared" ca="1" si="65"/>
        <v>5.9999999999999698</v>
      </c>
      <c r="D144" s="306">
        <f t="shared" ca="1" si="66"/>
        <v>-5.2444564286534492</v>
      </c>
      <c r="E144" s="307">
        <f t="shared" ca="1" si="67"/>
        <v>-28.333492525646697</v>
      </c>
      <c r="F144" s="304">
        <f t="shared" ca="1" si="68"/>
        <v>28.814772633719006</v>
      </c>
      <c r="G144" s="306">
        <f t="shared" ca="1" si="69"/>
        <v>42.795117863815356</v>
      </c>
      <c r="H144" s="307">
        <f t="shared" ca="1" si="70"/>
        <v>151.05484724416047</v>
      </c>
      <c r="I144" s="304">
        <f t="shared" ca="1" si="71"/>
        <v>156.99996493290851</v>
      </c>
      <c r="J144" s="306">
        <f t="shared" ca="1" si="72"/>
        <v>191.95876181812105</v>
      </c>
      <c r="K144" s="307">
        <f t="shared" ca="1" si="73"/>
        <v>788.88423671567887</v>
      </c>
      <c r="L144" s="304">
        <f t="shared" ca="1" si="58"/>
        <v>811.90301463735511</v>
      </c>
      <c r="M144" s="306">
        <f t="shared" ca="1" si="74"/>
        <v>1.2947223219785926</v>
      </c>
      <c r="N144" s="304">
        <f t="shared" ca="1" si="75"/>
        <v>74.182124690751422</v>
      </c>
      <c r="P144" s="310">
        <f t="shared" ca="1" si="76"/>
        <v>13</v>
      </c>
      <c r="Q144" s="304">
        <f t="shared" ca="1" si="77"/>
        <v>0</v>
      </c>
      <c r="R144" s="306">
        <f t="shared" ca="1" si="78"/>
        <v>0</v>
      </c>
      <c r="S144" s="307">
        <f t="shared" ca="1" si="79"/>
        <v>2.9792999999999985</v>
      </c>
      <c r="T144" s="304">
        <f t="shared" ca="1" si="59"/>
        <v>29.226932999999988</v>
      </c>
      <c r="U144" s="311">
        <f t="shared" ca="1" si="60"/>
        <v>0</v>
      </c>
      <c r="V144" s="306">
        <f t="shared" ca="1" si="61"/>
        <v>1.1320288545577681</v>
      </c>
      <c r="W144" s="304">
        <f t="shared" ca="1" si="62"/>
        <v>57.138584461694386</v>
      </c>
      <c r="Y144" s="314" t="str">
        <f t="shared" ca="1" si="80"/>
        <v/>
      </c>
      <c r="Z144" s="315" t="str">
        <f t="shared" ca="1" si="81"/>
        <v/>
      </c>
      <c r="AA144" s="316" t="str">
        <f t="shared" ca="1" si="82"/>
        <v/>
      </c>
      <c r="AC144" s="310">
        <f t="shared" ca="1" si="83"/>
        <v>5.9999999999999698</v>
      </c>
      <c r="AD144" s="323">
        <f t="shared" ca="1" si="84"/>
        <v>191.95876181812105</v>
      </c>
      <c r="AE144" s="324">
        <f t="shared" ca="1" si="63"/>
        <v>788.88423671567887</v>
      </c>
      <c r="AG144" s="306">
        <f t="shared" ca="1" si="85"/>
        <v>-28.69057965167648</v>
      </c>
      <c r="AH144" s="304">
        <f t="shared" ca="1" si="86"/>
        <v>-19.251599896625045</v>
      </c>
    </row>
    <row r="145" spans="1:34" x14ac:dyDescent="0.2">
      <c r="A145" s="347">
        <f t="shared" ca="1" si="64"/>
        <v>0.01</v>
      </c>
      <c r="B145" s="304">
        <f t="shared" ca="1" si="65"/>
        <v>6.0099999999999696</v>
      </c>
      <c r="D145" s="306">
        <f t="shared" ca="1" si="66"/>
        <v>-5.2276910315461578</v>
      </c>
      <c r="E145" s="307">
        <f t="shared" ca="1" si="67"/>
        <v>-28.2622933836236</v>
      </c>
      <c r="F145" s="304">
        <f t="shared" ca="1" si="68"/>
        <v>28.741711515205953</v>
      </c>
      <c r="G145" s="306">
        <f t="shared" ca="1" si="69"/>
        <v>42.742840953499893</v>
      </c>
      <c r="H145" s="307">
        <f t="shared" ca="1" si="70"/>
        <v>150.77222431032425</v>
      </c>
      <c r="I145" s="304">
        <f t="shared" ca="1" si="71"/>
        <v>156.71379670041472</v>
      </c>
      <c r="J145" s="306">
        <f t="shared" ca="1" si="72"/>
        <v>192.38645161220762</v>
      </c>
      <c r="K145" s="307">
        <f t="shared" ca="1" si="73"/>
        <v>790.39337207345125</v>
      </c>
      <c r="L145" s="304">
        <f t="shared" ca="1" si="58"/>
        <v>813.47048464070133</v>
      </c>
      <c r="M145" s="306">
        <f t="shared" ca="1" si="74"/>
        <v>1.2945516915630133</v>
      </c>
      <c r="N145" s="304">
        <f t="shared" ca="1" si="75"/>
        <v>74.172348288082162</v>
      </c>
      <c r="P145" s="310">
        <f t="shared" ca="1" si="76"/>
        <v>13</v>
      </c>
      <c r="Q145" s="304">
        <f t="shared" ca="1" si="77"/>
        <v>0</v>
      </c>
      <c r="R145" s="306">
        <f t="shared" ca="1" si="78"/>
        <v>0</v>
      </c>
      <c r="S145" s="307">
        <f t="shared" ca="1" si="79"/>
        <v>2.9792999999999985</v>
      </c>
      <c r="T145" s="304">
        <f t="shared" ca="1" si="59"/>
        <v>29.226932999999988</v>
      </c>
      <c r="U145" s="311">
        <f t="shared" ca="1" si="60"/>
        <v>0</v>
      </c>
      <c r="V145" s="306">
        <f t="shared" ca="1" si="61"/>
        <v>1.1318577622883705</v>
      </c>
      <c r="W145" s="304">
        <f t="shared" ca="1" si="62"/>
        <v>56.921873756363475</v>
      </c>
      <c r="Y145" s="314" t="str">
        <f t="shared" ca="1" si="80"/>
        <v/>
      </c>
      <c r="Z145" s="315" t="str">
        <f t="shared" ca="1" si="81"/>
        <v/>
      </c>
      <c r="AA145" s="316" t="str">
        <f t="shared" ca="1" si="82"/>
        <v/>
      </c>
      <c r="AC145" s="310" t="e">
        <f t="shared" ca="1" si="83"/>
        <v>#N/A</v>
      </c>
      <c r="AD145" s="323" t="e">
        <f t="shared" ca="1" si="84"/>
        <v>#N/A</v>
      </c>
      <c r="AE145" s="324">
        <f t="shared" ca="1" si="63"/>
        <v>790.39337207345125</v>
      </c>
      <c r="AG145" s="306">
        <f t="shared" ca="1" si="85"/>
        <v>-28.617051383441385</v>
      </c>
      <c r="AH145" s="304">
        <f t="shared" ca="1" si="86"/>
        <v>-19.17852665448072</v>
      </c>
    </row>
    <row r="146" spans="1:34" x14ac:dyDescent="0.2">
      <c r="A146" s="347">
        <f t="shared" ca="1" si="64"/>
        <v>0.01</v>
      </c>
      <c r="B146" s="304">
        <f t="shared" ca="1" si="65"/>
        <v>6.0199999999999694</v>
      </c>
      <c r="D146" s="306">
        <f t="shared" ca="1" si="66"/>
        <v>-5.2110003635363933</v>
      </c>
      <c r="E146" s="307">
        <f t="shared" ca="1" si="67"/>
        <v>-28.191420096690074</v>
      </c>
      <c r="F146" s="304">
        <f t="shared" ca="1" si="68"/>
        <v>28.668984841756036</v>
      </c>
      <c r="G146" s="306">
        <f t="shared" ca="1" si="69"/>
        <v>42.69073094986453</v>
      </c>
      <c r="H146" s="307">
        <f t="shared" ca="1" si="70"/>
        <v>150.49031010935735</v>
      </c>
      <c r="I146" s="304">
        <f t="shared" ca="1" si="71"/>
        <v>156.42836042688762</v>
      </c>
      <c r="J146" s="306">
        <f t="shared" ca="1" si="72"/>
        <v>192.81361947172445</v>
      </c>
      <c r="K146" s="307">
        <f t="shared" ca="1" si="73"/>
        <v>791.89968474554962</v>
      </c>
      <c r="L146" s="304">
        <f t="shared" ca="1" si="58"/>
        <v>815.03509283581639</v>
      </c>
      <c r="M146" s="306">
        <f t="shared" ca="1" si="74"/>
        <v>1.2943806468445853</v>
      </c>
      <c r="N146" s="304">
        <f t="shared" ca="1" si="75"/>
        <v>74.162548147608234</v>
      </c>
      <c r="P146" s="310">
        <f t="shared" ca="1" si="76"/>
        <v>13</v>
      </c>
      <c r="Q146" s="304">
        <f t="shared" ca="1" si="77"/>
        <v>0</v>
      </c>
      <c r="R146" s="306">
        <f t="shared" ca="1" si="78"/>
        <v>0</v>
      </c>
      <c r="S146" s="307">
        <f t="shared" ca="1" si="79"/>
        <v>2.9792999999999985</v>
      </c>
      <c r="T146" s="304">
        <f t="shared" ca="1" si="59"/>
        <v>29.226932999999988</v>
      </c>
      <c r="U146" s="311">
        <f t="shared" ca="1" si="60"/>
        <v>0</v>
      </c>
      <c r="V146" s="306">
        <f t="shared" ca="1" si="61"/>
        <v>1.1316870147969196</v>
      </c>
      <c r="W146" s="304">
        <f t="shared" ca="1" si="62"/>
        <v>56.706153462044362</v>
      </c>
      <c r="Y146" s="314" t="str">
        <f t="shared" ca="1" si="80"/>
        <v/>
      </c>
      <c r="Z146" s="315" t="str">
        <f t="shared" ca="1" si="81"/>
        <v/>
      </c>
      <c r="AA146" s="316" t="str">
        <f t="shared" ca="1" si="82"/>
        <v/>
      </c>
      <c r="AC146" s="310" t="e">
        <f t="shared" ca="1" si="83"/>
        <v>#N/A</v>
      </c>
      <c r="AD146" s="323" t="e">
        <f t="shared" ca="1" si="84"/>
        <v>#N/A</v>
      </c>
      <c r="AE146" s="324">
        <f t="shared" ca="1" si="63"/>
        <v>791.89968474554962</v>
      </c>
      <c r="AG146" s="306">
        <f t="shared" ca="1" si="85"/>
        <v>-28.54385617842776</v>
      </c>
      <c r="AH146" s="304">
        <f t="shared" ca="1" si="86"/>
        <v>-19.105787854987245</v>
      </c>
    </row>
    <row r="147" spans="1:34" x14ac:dyDescent="0.2">
      <c r="A147" s="347">
        <f t="shared" ca="1" si="64"/>
        <v>0.01</v>
      </c>
      <c r="B147" s="304">
        <f t="shared" ca="1" si="65"/>
        <v>6.0299999999999692</v>
      </c>
      <c r="D147" s="306">
        <f t="shared" ca="1" si="66"/>
        <v>-5.1943839715449895</v>
      </c>
      <c r="E147" s="307">
        <f t="shared" ca="1" si="67"/>
        <v>-28.120870704530802</v>
      </c>
      <c r="F147" s="304">
        <f t="shared" ca="1" si="68"/>
        <v>28.596590601412299</v>
      </c>
      <c r="G147" s="306">
        <f t="shared" ca="1" si="69"/>
        <v>42.638787110149082</v>
      </c>
      <c r="H147" s="307">
        <f t="shared" ca="1" si="70"/>
        <v>150.20910140231206</v>
      </c>
      <c r="I147" s="304">
        <f t="shared" ca="1" si="71"/>
        <v>156.14365280188204</v>
      </c>
      <c r="J147" s="306">
        <f t="shared" ca="1" si="72"/>
        <v>193.24026706202451</v>
      </c>
      <c r="K147" s="307">
        <f t="shared" ca="1" si="73"/>
        <v>793.40318180310794</v>
      </c>
      <c r="L147" s="304">
        <f t="shared" ca="1" si="58"/>
        <v>816.59684649739984</v>
      </c>
      <c r="M147" s="306">
        <f t="shared" ca="1" si="74"/>
        <v>1.2942091868632823</v>
      </c>
      <c r="N147" s="304">
        <f t="shared" ca="1" si="75"/>
        <v>74.152724214324181</v>
      </c>
      <c r="P147" s="310">
        <f t="shared" ca="1" si="76"/>
        <v>13</v>
      </c>
      <c r="Q147" s="304">
        <f t="shared" ca="1" si="77"/>
        <v>0</v>
      </c>
      <c r="R147" s="306">
        <f t="shared" ca="1" si="78"/>
        <v>0</v>
      </c>
      <c r="S147" s="307">
        <f t="shared" ca="1" si="79"/>
        <v>2.9792999999999985</v>
      </c>
      <c r="T147" s="304">
        <f t="shared" ca="1" si="59"/>
        <v>29.226932999999988</v>
      </c>
      <c r="U147" s="311">
        <f t="shared" ca="1" si="60"/>
        <v>0</v>
      </c>
      <c r="V147" s="306">
        <f t="shared" ca="1" si="61"/>
        <v>1.1315166111375785</v>
      </c>
      <c r="W147" s="304">
        <f t="shared" ca="1" si="62"/>
        <v>56.491417630253444</v>
      </c>
      <c r="Y147" s="314" t="str">
        <f t="shared" ca="1" si="80"/>
        <v/>
      </c>
      <c r="Z147" s="315" t="str">
        <f t="shared" ca="1" si="81"/>
        <v/>
      </c>
      <c r="AA147" s="316" t="str">
        <f t="shared" ca="1" si="82"/>
        <v/>
      </c>
      <c r="AC147" s="310" t="e">
        <f t="shared" ca="1" si="83"/>
        <v>#N/A</v>
      </c>
      <c r="AD147" s="323" t="e">
        <f t="shared" ca="1" si="84"/>
        <v>#N/A</v>
      </c>
      <c r="AE147" s="324">
        <f t="shared" ca="1" si="63"/>
        <v>793.40318180310794</v>
      </c>
      <c r="AG147" s="306">
        <f t="shared" ca="1" si="85"/>
        <v>-28.470992020216695</v>
      </c>
      <c r="AH147" s="304">
        <f t="shared" ca="1" si="86"/>
        <v>-19.033381486270059</v>
      </c>
    </row>
    <row r="148" spans="1:34" x14ac:dyDescent="0.2">
      <c r="A148" s="347">
        <f t="shared" ca="1" si="64"/>
        <v>0.01</v>
      </c>
      <c r="B148" s="304">
        <f t="shared" ca="1" si="65"/>
        <v>6.0399999999999689</v>
      </c>
      <c r="D148" s="306">
        <f t="shared" ca="1" si="66"/>
        <v>-5.177841405928306</v>
      </c>
      <c r="E148" s="307">
        <f t="shared" ca="1" si="67"/>
        <v>-28.050643261708764</v>
      </c>
      <c r="F148" s="304">
        <f t="shared" ca="1" si="68"/>
        <v>28.524526797487681</v>
      </c>
      <c r="G148" s="306">
        <f t="shared" ca="1" si="69"/>
        <v>42.587008696089796</v>
      </c>
      <c r="H148" s="307">
        <f t="shared" ca="1" si="70"/>
        <v>149.92859496969498</v>
      </c>
      <c r="I148" s="304">
        <f t="shared" ca="1" si="71"/>
        <v>155.85967053496449</v>
      </c>
      <c r="J148" s="306">
        <f t="shared" ca="1" si="72"/>
        <v>193.66639604105572</v>
      </c>
      <c r="K148" s="307">
        <f t="shared" ca="1" si="73"/>
        <v>794.90387028496798</v>
      </c>
      <c r="L148" s="304">
        <f t="shared" ca="1" si="58"/>
        <v>818.15575286711282</v>
      </c>
      <c r="M148" s="306">
        <f t="shared" ca="1" si="74"/>
        <v>1.2940373106554706</v>
      </c>
      <c r="N148" s="304">
        <f t="shared" ca="1" si="75"/>
        <v>74.142876433017861</v>
      </c>
      <c r="P148" s="310">
        <f t="shared" ca="1" si="76"/>
        <v>13</v>
      </c>
      <c r="Q148" s="304">
        <f t="shared" ca="1" si="77"/>
        <v>0</v>
      </c>
      <c r="R148" s="306">
        <f t="shared" ca="1" si="78"/>
        <v>0</v>
      </c>
      <c r="S148" s="307">
        <f t="shared" ca="1" si="79"/>
        <v>2.9792999999999985</v>
      </c>
      <c r="T148" s="304">
        <f t="shared" ca="1" si="59"/>
        <v>29.226932999999988</v>
      </c>
      <c r="U148" s="311">
        <f t="shared" ca="1" si="60"/>
        <v>0</v>
      </c>
      <c r="V148" s="306">
        <f t="shared" ca="1" si="61"/>
        <v>1.1313465503689544</v>
      </c>
      <c r="W148" s="304">
        <f t="shared" ca="1" si="62"/>
        <v>56.277660357586683</v>
      </c>
      <c r="Y148" s="314" t="str">
        <f t="shared" ca="1" si="80"/>
        <v/>
      </c>
      <c r="Z148" s="315" t="str">
        <f t="shared" ca="1" si="81"/>
        <v/>
      </c>
      <c r="AA148" s="316" t="str">
        <f t="shared" ca="1" si="82"/>
        <v/>
      </c>
      <c r="AC148" s="310" t="e">
        <f t="shared" ca="1" si="83"/>
        <v>#N/A</v>
      </c>
      <c r="AD148" s="323" t="e">
        <f t="shared" ca="1" si="84"/>
        <v>#N/A</v>
      </c>
      <c r="AE148" s="324">
        <f t="shared" ca="1" si="63"/>
        <v>794.90387028496798</v>
      </c>
      <c r="AG148" s="306">
        <f t="shared" ca="1" si="85"/>
        <v>-28.398456907638952</v>
      </c>
      <c r="AH148" s="304">
        <f t="shared" ca="1" si="86"/>
        <v>-18.961305551724724</v>
      </c>
    </row>
    <row r="149" spans="1:34" x14ac:dyDescent="0.2">
      <c r="A149" s="347">
        <f t="shared" ca="1" si="64"/>
        <v>0.01</v>
      </c>
      <c r="B149" s="304">
        <f t="shared" ca="1" si="65"/>
        <v>6.0499999999999687</v>
      </c>
      <c r="D149" s="306">
        <f t="shared" ca="1" si="66"/>
        <v>-5.161372220446923</v>
      </c>
      <c r="E149" s="307">
        <f t="shared" ca="1" si="67"/>
        <v>-27.980735837529572</v>
      </c>
      <c r="F149" s="304">
        <f t="shared" ca="1" si="68"/>
        <v>28.45279144842581</v>
      </c>
      <c r="G149" s="306">
        <f t="shared" ca="1" si="69"/>
        <v>42.535394973885325</v>
      </c>
      <c r="H149" s="307">
        <f t="shared" ca="1" si="70"/>
        <v>149.64878761131968</v>
      </c>
      <c r="I149" s="304">
        <f t="shared" ca="1" si="71"/>
        <v>155.57641035556225</v>
      </c>
      <c r="J149" s="306">
        <f t="shared" ca="1" si="72"/>
        <v>194.0920080594056</v>
      </c>
      <c r="K149" s="307">
        <f t="shared" ca="1" si="73"/>
        <v>796.40175719787305</v>
      </c>
      <c r="L149" s="304">
        <f t="shared" ca="1" si="58"/>
        <v>819.71181915377576</v>
      </c>
      <c r="M149" s="306">
        <f t="shared" ca="1" si="74"/>
        <v>1.2938650172538941</v>
      </c>
      <c r="N149" s="304">
        <f t="shared" ca="1" si="75"/>
        <v>74.13300474826957</v>
      </c>
      <c r="P149" s="310">
        <f t="shared" ca="1" si="76"/>
        <v>13</v>
      </c>
      <c r="Q149" s="304">
        <f t="shared" ca="1" si="77"/>
        <v>0</v>
      </c>
      <c r="R149" s="306">
        <f t="shared" ca="1" si="78"/>
        <v>0</v>
      </c>
      <c r="S149" s="307">
        <f t="shared" ca="1" si="79"/>
        <v>2.9792999999999985</v>
      </c>
      <c r="T149" s="304">
        <f t="shared" ca="1" si="59"/>
        <v>29.226932999999988</v>
      </c>
      <c r="U149" s="311">
        <f t="shared" ca="1" si="60"/>
        <v>0</v>
      </c>
      <c r="V149" s="306">
        <f t="shared" ca="1" si="61"/>
        <v>1.1311768315540711</v>
      </c>
      <c r="W149" s="304">
        <f t="shared" ca="1" si="62"/>
        <v>56.064875785309518</v>
      </c>
      <c r="Y149" s="314" t="str">
        <f t="shared" ca="1" si="80"/>
        <v/>
      </c>
      <c r="Z149" s="315" t="str">
        <f t="shared" ca="1" si="81"/>
        <v/>
      </c>
      <c r="AA149" s="316" t="str">
        <f t="shared" ca="1" si="82"/>
        <v/>
      </c>
      <c r="AC149" s="310" t="e">
        <f t="shared" ca="1" si="83"/>
        <v>#N/A</v>
      </c>
      <c r="AD149" s="323" t="e">
        <f t="shared" ca="1" si="84"/>
        <v>#N/A</v>
      </c>
      <c r="AE149" s="324">
        <f t="shared" ca="1" si="63"/>
        <v>796.40175719787305</v>
      </c>
      <c r="AG149" s="306">
        <f t="shared" ca="1" si="85"/>
        <v>-28.326248854635665</v>
      </c>
      <c r="AH149" s="304">
        <f t="shared" ca="1" si="86"/>
        <v>-18.889558069877726</v>
      </c>
    </row>
    <row r="150" spans="1:34" x14ac:dyDescent="0.2">
      <c r="A150" s="347">
        <f t="shared" ca="1" si="64"/>
        <v>0.01</v>
      </c>
      <c r="B150" s="304">
        <f t="shared" ca="1" si="65"/>
        <v>6.0599999999999685</v>
      </c>
      <c r="D150" s="306">
        <f t="shared" ca="1" si="66"/>
        <v>-5.1449759722346711</v>
      </c>
      <c r="E150" s="307">
        <f t="shared" ca="1" si="67"/>
        <v>-27.91114651590739</v>
      </c>
      <c r="F150" s="304">
        <f t="shared" ca="1" si="68"/>
        <v>28.381382587663367</v>
      </c>
      <c r="G150" s="306">
        <f t="shared" ca="1" si="69"/>
        <v>42.483945214162979</v>
      </c>
      <c r="H150" s="307">
        <f t="shared" ca="1" si="70"/>
        <v>149.3696761461606</v>
      </c>
      <c r="I150" s="304">
        <f t="shared" ca="1" si="71"/>
        <v>155.29386901281359</v>
      </c>
      <c r="J150" s="306">
        <f t="shared" ca="1" si="72"/>
        <v>194.51710476034583</v>
      </c>
      <c r="K150" s="307">
        <f t="shared" ca="1" si="73"/>
        <v>797.8968495166605</v>
      </c>
      <c r="L150" s="304">
        <f t="shared" ca="1" si="58"/>
        <v>821.26505253356527</v>
      </c>
      <c r="M150" s="306">
        <f t="shared" ca="1" si="74"/>
        <v>1.2936923056876615</v>
      </c>
      <c r="N150" s="304">
        <f t="shared" ca="1" si="75"/>
        <v>74.123109104451345</v>
      </c>
      <c r="P150" s="310">
        <f t="shared" ca="1" si="76"/>
        <v>13</v>
      </c>
      <c r="Q150" s="304">
        <f t="shared" ca="1" si="77"/>
        <v>0</v>
      </c>
      <c r="R150" s="306">
        <f t="shared" ca="1" si="78"/>
        <v>0</v>
      </c>
      <c r="S150" s="307">
        <f t="shared" ca="1" si="79"/>
        <v>2.9792999999999985</v>
      </c>
      <c r="T150" s="304">
        <f t="shared" ca="1" si="59"/>
        <v>29.226932999999988</v>
      </c>
      <c r="U150" s="311">
        <f t="shared" ca="1" si="60"/>
        <v>0</v>
      </c>
      <c r="V150" s="306">
        <f t="shared" ca="1" si="61"/>
        <v>1.1310074537603427</v>
      </c>
      <c r="W150" s="304">
        <f t="shared" ca="1" si="62"/>
        <v>55.853058098951038</v>
      </c>
      <c r="Y150" s="314" t="str">
        <f t="shared" ca="1" si="80"/>
        <v/>
      </c>
      <c r="Z150" s="315" t="str">
        <f t="shared" ca="1" si="81"/>
        <v/>
      </c>
      <c r="AA150" s="316" t="str">
        <f t="shared" ca="1" si="82"/>
        <v/>
      </c>
      <c r="AC150" s="310" t="e">
        <f t="shared" ca="1" si="83"/>
        <v>#N/A</v>
      </c>
      <c r="AD150" s="323" t="e">
        <f t="shared" ca="1" si="84"/>
        <v>#N/A</v>
      </c>
      <c r="AE150" s="324">
        <f t="shared" ca="1" si="63"/>
        <v>797.8968495166605</v>
      </c>
      <c r="AG150" s="306">
        <f t="shared" ca="1" si="85"/>
        <v>-28.254365890120589</v>
      </c>
      <c r="AH150" s="304">
        <f t="shared" ca="1" si="86"/>
        <v>-18.818137074248831</v>
      </c>
    </row>
    <row r="151" spans="1:34" x14ac:dyDescent="0.2">
      <c r="A151" s="347">
        <f t="shared" ca="1" si="64"/>
        <v>0.01</v>
      </c>
      <c r="B151" s="304">
        <f t="shared" ca="1" si="65"/>
        <v>6.0699999999999683</v>
      </c>
      <c r="D151" s="306">
        <f t="shared" ca="1" si="66"/>
        <v>-5.1286522217679602</v>
      </c>
      <c r="E151" s="307">
        <f t="shared" ca="1" si="67"/>
        <v>-27.841873395232184</v>
      </c>
      <c r="F151" s="304">
        <f t="shared" ca="1" si="68"/>
        <v>28.310298263493852</v>
      </c>
      <c r="G151" s="306">
        <f t="shared" ca="1" si="69"/>
        <v>42.432658691945299</v>
      </c>
      <c r="H151" s="307">
        <f t="shared" ca="1" si="70"/>
        <v>149.09125741220828</v>
      </c>
      <c r="I151" s="304">
        <f t="shared" ca="1" si="71"/>
        <v>155.01204327541933</v>
      </c>
      <c r="J151" s="306">
        <f t="shared" ca="1" si="72"/>
        <v>194.94168777987636</v>
      </c>
      <c r="K151" s="307">
        <f t="shared" ca="1" si="73"/>
        <v>799.38915418445231</v>
      </c>
      <c r="L151" s="304">
        <f t="shared" ca="1" si="58"/>
        <v>822.81546015020945</v>
      </c>
      <c r="M151" s="306">
        <f t="shared" ca="1" si="74"/>
        <v>1.2935191749822295</v>
      </c>
      <c r="N151" s="304">
        <f t="shared" ca="1" si="75"/>
        <v>74.113189445725965</v>
      </c>
      <c r="P151" s="310">
        <f t="shared" ca="1" si="76"/>
        <v>13</v>
      </c>
      <c r="Q151" s="304">
        <f t="shared" ca="1" si="77"/>
        <v>0</v>
      </c>
      <c r="R151" s="306">
        <f t="shared" ca="1" si="78"/>
        <v>0</v>
      </c>
      <c r="S151" s="307">
        <f t="shared" ca="1" si="79"/>
        <v>2.9792999999999985</v>
      </c>
      <c r="T151" s="304">
        <f t="shared" ca="1" si="59"/>
        <v>29.226932999999988</v>
      </c>
      <c r="U151" s="311">
        <f t="shared" ca="1" si="60"/>
        <v>0</v>
      </c>
      <c r="V151" s="306">
        <f t="shared" ca="1" si="61"/>
        <v>1.1308384160595459</v>
      </c>
      <c r="W151" s="304">
        <f t="shared" ca="1" si="62"/>
        <v>55.642201527902387</v>
      </c>
      <c r="Y151" s="314" t="str">
        <f t="shared" ca="1" si="80"/>
        <v/>
      </c>
      <c r="Z151" s="315" t="str">
        <f t="shared" ca="1" si="81"/>
        <v/>
      </c>
      <c r="AA151" s="316" t="str">
        <f t="shared" ca="1" si="82"/>
        <v/>
      </c>
      <c r="AC151" s="310" t="e">
        <f t="shared" ca="1" si="83"/>
        <v>#N/A</v>
      </c>
      <c r="AD151" s="323" t="e">
        <f t="shared" ca="1" si="84"/>
        <v>#N/A</v>
      </c>
      <c r="AE151" s="324">
        <f t="shared" ca="1" si="63"/>
        <v>799.38915418445231</v>
      </c>
      <c r="AG151" s="306">
        <f t="shared" ca="1" si="85"/>
        <v>-28.182806057843788</v>
      </c>
      <c r="AH151" s="304">
        <f t="shared" ca="1" si="86"/>
        <v>-18.747040613214871</v>
      </c>
    </row>
    <row r="152" spans="1:34" x14ac:dyDescent="0.2">
      <c r="A152" s="347">
        <f t="shared" ca="1" si="64"/>
        <v>0.01</v>
      </c>
      <c r="B152" s="304">
        <f t="shared" ca="1" si="65"/>
        <v>6.0799999999999681</v>
      </c>
      <c r="D152" s="306">
        <f t="shared" ca="1" si="66"/>
        <v>-5.1124005328354789</v>
      </c>
      <c r="E152" s="307">
        <f t="shared" ca="1" si="67"/>
        <v>-27.7729145882384</v>
      </c>
      <c r="F152" s="304">
        <f t="shared" ca="1" si="68"/>
        <v>28.239536538932818</v>
      </c>
      <c r="G152" s="306">
        <f t="shared" ca="1" si="69"/>
        <v>42.381534686616945</v>
      </c>
      <c r="H152" s="307">
        <f t="shared" ca="1" si="70"/>
        <v>148.8135282663259</v>
      </c>
      <c r="I152" s="304">
        <f t="shared" ca="1" si="71"/>
        <v>154.73092993149589</v>
      </c>
      <c r="J152" s="306">
        <f t="shared" ca="1" si="72"/>
        <v>195.36575874676916</v>
      </c>
      <c r="K152" s="307">
        <f t="shared" ca="1" si="73"/>
        <v>800.87867811284502</v>
      </c>
      <c r="L152" s="304">
        <f t="shared" ca="1" si="58"/>
        <v>824.3630491151813</v>
      </c>
      <c r="M152" s="306">
        <f t="shared" ca="1" si="74"/>
        <v>1.2933456241593893</v>
      </c>
      <c r="N152" s="304">
        <f t="shared" ca="1" si="75"/>
        <v>74.103245716046203</v>
      </c>
      <c r="P152" s="310">
        <f t="shared" ca="1" si="76"/>
        <v>13</v>
      </c>
      <c r="Q152" s="304">
        <f t="shared" ca="1" si="77"/>
        <v>0</v>
      </c>
      <c r="R152" s="306">
        <f t="shared" ca="1" si="78"/>
        <v>0</v>
      </c>
      <c r="S152" s="307">
        <f t="shared" ca="1" si="79"/>
        <v>2.9792999999999985</v>
      </c>
      <c r="T152" s="304">
        <f t="shared" ca="1" si="59"/>
        <v>29.226932999999988</v>
      </c>
      <c r="U152" s="311">
        <f t="shared" ca="1" si="60"/>
        <v>0</v>
      </c>
      <c r="V152" s="306">
        <f t="shared" ca="1" si="61"/>
        <v>1.1306697175277942</v>
      </c>
      <c r="W152" s="304">
        <f t="shared" ca="1" si="62"/>
        <v>55.432300345019527</v>
      </c>
      <c r="Y152" s="314" t="str">
        <f t="shared" ca="1" si="80"/>
        <v/>
      </c>
      <c r="Z152" s="315" t="str">
        <f t="shared" ca="1" si="81"/>
        <v/>
      </c>
      <c r="AA152" s="316" t="str">
        <f t="shared" ca="1" si="82"/>
        <v/>
      </c>
      <c r="AC152" s="310" t="e">
        <f t="shared" ca="1" si="83"/>
        <v>#N/A</v>
      </c>
      <c r="AD152" s="323" t="e">
        <f t="shared" ca="1" si="84"/>
        <v>#N/A</v>
      </c>
      <c r="AE152" s="324">
        <f t="shared" ca="1" si="63"/>
        <v>800.87867811284502</v>
      </c>
      <c r="AG152" s="306">
        <f t="shared" ca="1" si="85"/>
        <v>-28.111567416256712</v>
      </c>
      <c r="AH152" s="304">
        <f t="shared" ca="1" si="86"/>
        <v>-18.676266749874941</v>
      </c>
    </row>
    <row r="153" spans="1:34" x14ac:dyDescent="0.2">
      <c r="A153" s="347">
        <f t="shared" ca="1" si="64"/>
        <v>0.01</v>
      </c>
      <c r="B153" s="304">
        <f t="shared" ca="1" si="65"/>
        <v>6.0899999999999679</v>
      </c>
      <c r="D153" s="306">
        <f t="shared" ca="1" si="66"/>
        <v>-5.096220472508171</v>
      </c>
      <c r="E153" s="307">
        <f t="shared" ca="1" si="67"/>
        <v>-27.704268221875019</v>
      </c>
      <c r="F153" s="304">
        <f t="shared" ca="1" si="68"/>
        <v>28.169095491584486</v>
      </c>
      <c r="G153" s="306">
        <f t="shared" ca="1" si="69"/>
        <v>42.330572481891863</v>
      </c>
      <c r="H153" s="307">
        <f t="shared" ca="1" si="70"/>
        <v>148.53648558410714</v>
      </c>
      <c r="I153" s="304">
        <f t="shared" ca="1" si="71"/>
        <v>154.45052578842964</v>
      </c>
      <c r="J153" s="306">
        <f t="shared" ca="1" si="72"/>
        <v>195.7893192826117</v>
      </c>
      <c r="K153" s="307">
        <f t="shared" ca="1" si="73"/>
        <v>802.36542818209716</v>
      </c>
      <c r="L153" s="304">
        <f t="shared" ca="1" si="58"/>
        <v>825.90782650789095</v>
      </c>
      <c r="M153" s="306">
        <f t="shared" ca="1" si="74"/>
        <v>1.2931716522372512</v>
      </c>
      <c r="N153" s="304">
        <f t="shared" ca="1" si="75"/>
        <v>74.093277859153915</v>
      </c>
      <c r="P153" s="310">
        <f t="shared" ca="1" si="76"/>
        <v>13</v>
      </c>
      <c r="Q153" s="304">
        <f t="shared" ca="1" si="77"/>
        <v>0</v>
      </c>
      <c r="R153" s="306">
        <f t="shared" ca="1" si="78"/>
        <v>0</v>
      </c>
      <c r="S153" s="307">
        <f t="shared" ca="1" si="79"/>
        <v>2.9792999999999985</v>
      </c>
      <c r="T153" s="304">
        <f t="shared" ca="1" si="59"/>
        <v>29.226932999999988</v>
      </c>
      <c r="U153" s="311">
        <f t="shared" ca="1" si="60"/>
        <v>0</v>
      </c>
      <c r="V153" s="306">
        <f t="shared" ca="1" si="61"/>
        <v>1.1305013572455098</v>
      </c>
      <c r="W153" s="304">
        <f t="shared" ca="1" si="62"/>
        <v>55.223348866230197</v>
      </c>
      <c r="Y153" s="314" t="str">
        <f t="shared" ca="1" si="80"/>
        <v/>
      </c>
      <c r="Z153" s="315" t="str">
        <f t="shared" ca="1" si="81"/>
        <v/>
      </c>
      <c r="AA153" s="316" t="str">
        <f t="shared" ca="1" si="82"/>
        <v/>
      </c>
      <c r="AC153" s="310" t="e">
        <f t="shared" ca="1" si="83"/>
        <v>#N/A</v>
      </c>
      <c r="AD153" s="323" t="e">
        <f t="shared" ca="1" si="84"/>
        <v>#N/A</v>
      </c>
      <c r="AE153" s="324">
        <f t="shared" ca="1" si="63"/>
        <v>802.36542818209716</v>
      </c>
      <c r="AG153" s="306">
        <f t="shared" ca="1" si="85"/>
        <v>-28.040648038378784</v>
      </c>
      <c r="AH153" s="304">
        <f t="shared" ca="1" si="86"/>
        <v>-18.605813561917081</v>
      </c>
    </row>
    <row r="154" spans="1:34" x14ac:dyDescent="0.2">
      <c r="A154" s="347">
        <f t="shared" ca="1" si="64"/>
        <v>0.01</v>
      </c>
      <c r="B154" s="304">
        <f t="shared" ca="1" si="65"/>
        <v>6.0999999999999677</v>
      </c>
      <c r="D154" s="306">
        <f t="shared" ca="1" si="66"/>
        <v>-5.0801116111095634</v>
      </c>
      <c r="E154" s="307">
        <f t="shared" ca="1" si="67"/>
        <v>-27.635932437177061</v>
      </c>
      <c r="F154" s="304">
        <f t="shared" ca="1" si="68"/>
        <v>28.098973213509876</v>
      </c>
      <c r="G154" s="306">
        <f t="shared" ca="1" si="69"/>
        <v>42.279771365780768</v>
      </c>
      <c r="H154" s="307">
        <f t="shared" ca="1" si="70"/>
        <v>148.26012625973536</v>
      </c>
      <c r="I154" s="304">
        <f t="shared" ca="1" si="71"/>
        <v>154.17082767273246</v>
      </c>
      <c r="J154" s="306">
        <f t="shared" ca="1" si="72"/>
        <v>196.21237100185007</v>
      </c>
      <c r="K154" s="307">
        <f t="shared" ca="1" si="73"/>
        <v>803.84941124131637</v>
      </c>
      <c r="L154" s="304">
        <f t="shared" ca="1" si="58"/>
        <v>827.44979937587675</v>
      </c>
      <c r="M154" s="306">
        <f t="shared" ca="1" si="74"/>
        <v>1.2929972582302305</v>
      </c>
      <c r="N154" s="304">
        <f t="shared" ca="1" si="75"/>
        <v>74.083285818579256</v>
      </c>
      <c r="P154" s="310">
        <f t="shared" ca="1" si="76"/>
        <v>13</v>
      </c>
      <c r="Q154" s="304">
        <f t="shared" ca="1" si="77"/>
        <v>0</v>
      </c>
      <c r="R154" s="306">
        <f t="shared" ca="1" si="78"/>
        <v>0</v>
      </c>
      <c r="S154" s="307">
        <f t="shared" ca="1" si="79"/>
        <v>2.9792999999999985</v>
      </c>
      <c r="T154" s="304">
        <f t="shared" ca="1" si="59"/>
        <v>29.226932999999988</v>
      </c>
      <c r="U154" s="311">
        <f t="shared" ca="1" si="60"/>
        <v>0</v>
      </c>
      <c r="V154" s="306">
        <f t="shared" ca="1" si="61"/>
        <v>1.1303333342973994</v>
      </c>
      <c r="W154" s="304">
        <f t="shared" ca="1" si="62"/>
        <v>55.015341450144945</v>
      </c>
      <c r="Y154" s="314" t="str">
        <f t="shared" ca="1" si="80"/>
        <v/>
      </c>
      <c r="Z154" s="315" t="str">
        <f t="shared" ca="1" si="81"/>
        <v/>
      </c>
      <c r="AA154" s="316" t="str">
        <f t="shared" ca="1" si="82"/>
        <v/>
      </c>
      <c r="AC154" s="310" t="e">
        <f t="shared" ca="1" si="83"/>
        <v>#N/A</v>
      </c>
      <c r="AD154" s="323" t="e">
        <f t="shared" ca="1" si="84"/>
        <v>#N/A</v>
      </c>
      <c r="AE154" s="324">
        <f t="shared" ca="1" si="63"/>
        <v>803.84941124131637</v>
      </c>
      <c r="AG154" s="306">
        <f t="shared" ca="1" si="85"/>
        <v>-27.970046011665353</v>
      </c>
      <c r="AH154" s="304">
        <f t="shared" ca="1" si="86"/>
        <v>-18.53567914148633</v>
      </c>
    </row>
    <row r="155" spans="1:34" x14ac:dyDescent="0.2">
      <c r="A155" s="347">
        <f t="shared" ca="1" si="64"/>
        <v>0.01</v>
      </c>
      <c r="B155" s="304">
        <f t="shared" ca="1" si="65"/>
        <v>6.1099999999999675</v>
      </c>
      <c r="D155" s="306">
        <f t="shared" ca="1" si="66"/>
        <v>-5.0640735221863773</v>
      </c>
      <c r="E155" s="307">
        <f t="shared" ca="1" si="67"/>
        <v>-27.567905389138339</v>
      </c>
      <c r="F155" s="304">
        <f t="shared" ca="1" si="68"/>
        <v>28.029167811096208</v>
      </c>
      <c r="G155" s="306">
        <f t="shared" ca="1" si="69"/>
        <v>42.229130630558906</v>
      </c>
      <c r="H155" s="307">
        <f t="shared" ca="1" si="70"/>
        <v>147.98444720584396</v>
      </c>
      <c r="I155" s="304">
        <f t="shared" ca="1" si="71"/>
        <v>153.89183242989873</v>
      </c>
      <c r="J155" s="306">
        <f t="shared" ca="1" si="72"/>
        <v>196.63491551183176</v>
      </c>
      <c r="K155" s="307">
        <f t="shared" ca="1" si="73"/>
        <v>805.33063410864429</v>
      </c>
      <c r="L155" s="304">
        <f t="shared" ca="1" si="58"/>
        <v>828.9889747349938</v>
      </c>
      <c r="M155" s="306">
        <f t="shared" ca="1" si="74"/>
        <v>1.2928224411490312</v>
      </c>
      <c r="N155" s="304">
        <f t="shared" ca="1" si="75"/>
        <v>74.073269537639746</v>
      </c>
      <c r="P155" s="310">
        <f t="shared" ca="1" si="76"/>
        <v>13</v>
      </c>
      <c r="Q155" s="304">
        <f t="shared" ca="1" si="77"/>
        <v>0</v>
      </c>
      <c r="R155" s="306">
        <f t="shared" ca="1" si="78"/>
        <v>0</v>
      </c>
      <c r="S155" s="307">
        <f t="shared" ca="1" si="79"/>
        <v>2.9792999999999985</v>
      </c>
      <c r="T155" s="304">
        <f t="shared" ca="1" si="59"/>
        <v>29.226932999999988</v>
      </c>
      <c r="U155" s="311">
        <f t="shared" ca="1" si="60"/>
        <v>0</v>
      </c>
      <c r="V155" s="306">
        <f t="shared" ca="1" si="61"/>
        <v>1.1301656477724271</v>
      </c>
      <c r="W155" s="304">
        <f t="shared" ca="1" si="62"/>
        <v>54.808272497672412</v>
      </c>
      <c r="Y155" s="314" t="str">
        <f t="shared" ca="1" si="80"/>
        <v/>
      </c>
      <c r="Z155" s="315" t="str">
        <f t="shared" ca="1" si="81"/>
        <v/>
      </c>
      <c r="AA155" s="316" t="str">
        <f t="shared" ca="1" si="82"/>
        <v/>
      </c>
      <c r="AC155" s="310" t="e">
        <f t="shared" ca="1" si="83"/>
        <v>#N/A</v>
      </c>
      <c r="AD155" s="323" t="e">
        <f t="shared" ca="1" si="84"/>
        <v>#N/A</v>
      </c>
      <c r="AE155" s="324">
        <f t="shared" ca="1" si="63"/>
        <v>805.33063410864429</v>
      </c>
      <c r="AG155" s="306">
        <f t="shared" ca="1" si="85"/>
        <v>-27.899759437877044</v>
      </c>
      <c r="AH155" s="304">
        <f t="shared" ca="1" si="86"/>
        <v>-18.465861595054196</v>
      </c>
    </row>
    <row r="156" spans="1:34" x14ac:dyDescent="0.2">
      <c r="A156" s="347">
        <f t="shared" ca="1" si="64"/>
        <v>0.01</v>
      </c>
      <c r="B156" s="304">
        <f t="shared" ca="1" si="65"/>
        <v>6.1199999999999672</v>
      </c>
      <c r="D156" s="306">
        <f t="shared" ca="1" si="66"/>
        <v>-5.0481057824794915</v>
      </c>
      <c r="E156" s="307">
        <f t="shared" ca="1" si="67"/>
        <v>-27.500185246585659</v>
      </c>
      <c r="F156" s="304">
        <f t="shared" ca="1" si="68"/>
        <v>27.959677404927806</v>
      </c>
      <c r="G156" s="306">
        <f t="shared" ca="1" si="69"/>
        <v>42.178649572734109</v>
      </c>
      <c r="H156" s="307">
        <f t="shared" ca="1" si="70"/>
        <v>147.7094453533781</v>
      </c>
      <c r="I156" s="304">
        <f t="shared" ca="1" si="71"/>
        <v>153.6135369242636</v>
      </c>
      <c r="J156" s="306">
        <f t="shared" ca="1" si="72"/>
        <v>197.05695441284823</v>
      </c>
      <c r="K156" s="307">
        <f t="shared" ca="1" si="73"/>
        <v>806.80910357144035</v>
      </c>
      <c r="L156" s="304">
        <f t="shared" ca="1" si="58"/>
        <v>830.5253595696031</v>
      </c>
      <c r="M156" s="306">
        <f t="shared" ca="1" si="74"/>
        <v>1.2926472000006326</v>
      </c>
      <c r="N156" s="304">
        <f t="shared" ca="1" si="75"/>
        <v>74.063228959439471</v>
      </c>
      <c r="P156" s="310">
        <f t="shared" ca="1" si="76"/>
        <v>13</v>
      </c>
      <c r="Q156" s="304">
        <f t="shared" ca="1" si="77"/>
        <v>0</v>
      </c>
      <c r="R156" s="306">
        <f t="shared" ca="1" si="78"/>
        <v>0</v>
      </c>
      <c r="S156" s="307">
        <f t="shared" ca="1" si="79"/>
        <v>2.9792999999999985</v>
      </c>
      <c r="T156" s="304">
        <f t="shared" ca="1" si="59"/>
        <v>29.226932999999988</v>
      </c>
      <c r="U156" s="311">
        <f t="shared" ca="1" si="60"/>
        <v>0</v>
      </c>
      <c r="V156" s="306">
        <f t="shared" ca="1" si="61"/>
        <v>1.1299982967637872</v>
      </c>
      <c r="W156" s="304">
        <f t="shared" ca="1" si="62"/>
        <v>54.602136451638394</v>
      </c>
      <c r="Y156" s="314" t="str">
        <f t="shared" ca="1" si="80"/>
        <v/>
      </c>
      <c r="Z156" s="315" t="str">
        <f t="shared" ca="1" si="81"/>
        <v/>
      </c>
      <c r="AA156" s="316" t="str">
        <f t="shared" ca="1" si="82"/>
        <v/>
      </c>
      <c r="AC156" s="310" t="e">
        <f t="shared" ca="1" si="83"/>
        <v>#N/A</v>
      </c>
      <c r="AD156" s="323" t="e">
        <f t="shared" ca="1" si="84"/>
        <v>#N/A</v>
      </c>
      <c r="AE156" s="324">
        <f t="shared" ca="1" si="63"/>
        <v>806.80910357144035</v>
      </c>
      <c r="AG156" s="306">
        <f t="shared" ca="1" si="85"/>
        <v>-27.829786432950524</v>
      </c>
      <c r="AH156" s="304">
        <f t="shared" ca="1" si="86"/>
        <v>-18.396359043289511</v>
      </c>
    </row>
    <row r="157" spans="1:34" x14ac:dyDescent="0.2">
      <c r="A157" s="347">
        <f t="shared" ca="1" si="64"/>
        <v>0.01</v>
      </c>
      <c r="B157" s="304">
        <f t="shared" ca="1" si="65"/>
        <v>6.129999999999967</v>
      </c>
      <c r="D157" s="306">
        <f t="shared" ca="1" si="66"/>
        <v>-5.0322079718951418</v>
      </c>
      <c r="E157" s="307">
        <f t="shared" ca="1" si="67"/>
        <v>-27.432770192054228</v>
      </c>
      <c r="F157" s="304">
        <f t="shared" ca="1" si="68"/>
        <v>27.8905001296582</v>
      </c>
      <c r="G157" s="306">
        <f t="shared" ca="1" si="69"/>
        <v>42.128327493015156</v>
      </c>
      <c r="H157" s="307">
        <f t="shared" ca="1" si="70"/>
        <v>147.43511765145755</v>
      </c>
      <c r="I157" s="304">
        <f t="shared" ca="1" si="71"/>
        <v>153.33593803886245</v>
      </c>
      <c r="J157" s="306">
        <f t="shared" ca="1" si="72"/>
        <v>197.47848929817698</v>
      </c>
      <c r="K157" s="307">
        <f t="shared" ca="1" si="73"/>
        <v>808.28482638646449</v>
      </c>
      <c r="L157" s="304">
        <f t="shared" ca="1" si="58"/>
        <v>832.05896083275695</v>
      </c>
      <c r="M157" s="306">
        <f t="shared" ca="1" si="74"/>
        <v>1.292471533788272</v>
      </c>
      <c r="N157" s="304">
        <f t="shared" ca="1" si="75"/>
        <v>74.05316402686816</v>
      </c>
      <c r="P157" s="310">
        <f t="shared" ca="1" si="76"/>
        <v>13</v>
      </c>
      <c r="Q157" s="304">
        <f t="shared" ca="1" si="77"/>
        <v>0</v>
      </c>
      <c r="R157" s="306">
        <f t="shared" ca="1" si="78"/>
        <v>0</v>
      </c>
      <c r="S157" s="307">
        <f t="shared" ca="1" si="79"/>
        <v>2.9792999999999985</v>
      </c>
      <c r="T157" s="304">
        <f t="shared" ca="1" si="59"/>
        <v>29.226932999999988</v>
      </c>
      <c r="U157" s="311">
        <f t="shared" ca="1" si="60"/>
        <v>0</v>
      </c>
      <c r="V157" s="306">
        <f t="shared" ca="1" si="61"/>
        <v>1.1298312803688813</v>
      </c>
      <c r="W157" s="304">
        <f t="shared" ca="1" si="62"/>
        <v>54.396927796409294</v>
      </c>
      <c r="Y157" s="314" t="str">
        <f t="shared" ca="1" si="80"/>
        <v/>
      </c>
      <c r="Z157" s="315" t="str">
        <f t="shared" ca="1" si="81"/>
        <v/>
      </c>
      <c r="AA157" s="316" t="str">
        <f t="shared" ca="1" si="82"/>
        <v/>
      </c>
      <c r="AC157" s="310" t="e">
        <f t="shared" ca="1" si="83"/>
        <v>#N/A</v>
      </c>
      <c r="AD157" s="323" t="e">
        <f t="shared" ca="1" si="84"/>
        <v>#N/A</v>
      </c>
      <c r="AE157" s="324">
        <f t="shared" ca="1" si="63"/>
        <v>808.28482638646449</v>
      </c>
      <c r="AG157" s="306">
        <f t="shared" ca="1" si="85"/>
        <v>-27.760125126870491</v>
      </c>
      <c r="AH157" s="304">
        <f t="shared" ca="1" si="86"/>
        <v>-18.327169620930562</v>
      </c>
    </row>
    <row r="158" spans="1:34" x14ac:dyDescent="0.2">
      <c r="A158" s="347">
        <f t="shared" ca="1" si="64"/>
        <v>0.01</v>
      </c>
      <c r="B158" s="304">
        <f t="shared" ca="1" si="65"/>
        <v>6.1399999999999668</v>
      </c>
      <c r="D158" s="306">
        <f t="shared" ca="1" si="66"/>
        <v>-5.0163796734765276</v>
      </c>
      <c r="E158" s="307">
        <f t="shared" ca="1" si="67"/>
        <v>-27.365658421664506</v>
      </c>
      <c r="F158" s="304">
        <f t="shared" ca="1" si="68"/>
        <v>27.821634133883762</v>
      </c>
      <c r="G158" s="306">
        <f t="shared" ca="1" si="69"/>
        <v>42.078163696280392</v>
      </c>
      <c r="H158" s="307">
        <f t="shared" ca="1" si="70"/>
        <v>147.16146106724091</v>
      </c>
      <c r="I158" s="304">
        <f t="shared" ca="1" si="71"/>
        <v>153.05903267529175</v>
      </c>
      <c r="J158" s="306">
        <f t="shared" ca="1" si="72"/>
        <v>197.89952175412347</v>
      </c>
      <c r="K158" s="307">
        <f t="shared" ca="1" si="73"/>
        <v>809.75780928005793</v>
      </c>
      <c r="L158" s="304">
        <f t="shared" ca="1" si="58"/>
        <v>833.58978544638455</v>
      </c>
      <c r="M158" s="306">
        <f t="shared" ca="1" si="74"/>
        <v>1.2922954415114318</v>
      </c>
      <c r="N158" s="304">
        <f t="shared" ca="1" si="75"/>
        <v>74.043074682600377</v>
      </c>
      <c r="P158" s="310">
        <f t="shared" ca="1" si="76"/>
        <v>13</v>
      </c>
      <c r="Q158" s="304">
        <f t="shared" ca="1" si="77"/>
        <v>0</v>
      </c>
      <c r="R158" s="306">
        <f t="shared" ca="1" si="78"/>
        <v>0</v>
      </c>
      <c r="S158" s="307">
        <f t="shared" ca="1" si="79"/>
        <v>2.9792999999999985</v>
      </c>
      <c r="T158" s="304">
        <f t="shared" ca="1" si="59"/>
        <v>29.226932999999988</v>
      </c>
      <c r="U158" s="311">
        <f t="shared" ca="1" si="60"/>
        <v>0</v>
      </c>
      <c r="V158" s="306">
        <f t="shared" ca="1" si="61"/>
        <v>1.1296645976892907</v>
      </c>
      <c r="W158" s="304">
        <f t="shared" ca="1" si="62"/>
        <v>54.192641057519189</v>
      </c>
      <c r="Y158" s="314" t="str">
        <f t="shared" ca="1" si="80"/>
        <v/>
      </c>
      <c r="Z158" s="315" t="str">
        <f t="shared" ca="1" si="81"/>
        <v/>
      </c>
      <c r="AA158" s="316" t="str">
        <f t="shared" ca="1" si="82"/>
        <v/>
      </c>
      <c r="AC158" s="310" t="e">
        <f t="shared" ca="1" si="83"/>
        <v>#N/A</v>
      </c>
      <c r="AD158" s="323" t="e">
        <f t="shared" ca="1" si="84"/>
        <v>#N/A</v>
      </c>
      <c r="AE158" s="324">
        <f t="shared" ca="1" si="63"/>
        <v>809.75780928005793</v>
      </c>
      <c r="AG158" s="306">
        <f t="shared" ca="1" si="85"/>
        <v>-27.69077366354324</v>
      </c>
      <c r="AH158" s="304">
        <f t="shared" ca="1" si="86"/>
        <v>-18.258291476658719</v>
      </c>
    </row>
    <row r="159" spans="1:34" x14ac:dyDescent="0.2">
      <c r="A159" s="347">
        <f t="shared" ca="1" si="64"/>
        <v>0.01</v>
      </c>
      <c r="B159" s="304">
        <f t="shared" ca="1" si="65"/>
        <v>6.1499999999999666</v>
      </c>
      <c r="D159" s="306">
        <f t="shared" ca="1" si="66"/>
        <v>-5.0006204733755917</v>
      </c>
      <c r="E159" s="307">
        <f t="shared" ca="1" si="67"/>
        <v>-27.29884814500025</v>
      </c>
      <c r="F159" s="304">
        <f t="shared" ca="1" si="68"/>
        <v>27.75307758001852</v>
      </c>
      <c r="G159" s="306">
        <f t="shared" ca="1" si="69"/>
        <v>42.028157491546636</v>
      </c>
      <c r="H159" s="307">
        <f t="shared" ca="1" si="70"/>
        <v>146.88847258579091</v>
      </c>
      <c r="I159" s="304">
        <f t="shared" ca="1" si="71"/>
        <v>152.78281775357101</v>
      </c>
      <c r="J159" s="306">
        <f t="shared" ca="1" si="72"/>
        <v>198.32005336006262</v>
      </c>
      <c r="K159" s="307">
        <f t="shared" ca="1" si="73"/>
        <v>811.22805894832311</v>
      </c>
      <c r="L159" s="304">
        <f t="shared" ca="1" si="58"/>
        <v>835.11784030147624</v>
      </c>
      <c r="M159" s="306">
        <f t="shared" ca="1" si="74"/>
        <v>1.2921189221658225</v>
      </c>
      <c r="N159" s="304">
        <f t="shared" ca="1" si="75"/>
        <v>74.032960869094538</v>
      </c>
      <c r="P159" s="310">
        <f t="shared" ca="1" si="76"/>
        <v>13</v>
      </c>
      <c r="Q159" s="304">
        <f t="shared" ca="1" si="77"/>
        <v>0</v>
      </c>
      <c r="R159" s="306">
        <f t="shared" ca="1" si="78"/>
        <v>0</v>
      </c>
      <c r="S159" s="307">
        <f t="shared" ca="1" si="79"/>
        <v>2.9792999999999985</v>
      </c>
      <c r="T159" s="304">
        <f t="shared" ca="1" si="59"/>
        <v>29.226932999999988</v>
      </c>
      <c r="U159" s="311">
        <f t="shared" ca="1" si="60"/>
        <v>0</v>
      </c>
      <c r="V159" s="306">
        <f t="shared" ca="1" si="61"/>
        <v>1.1294982478307516</v>
      </c>
      <c r="W159" s="304">
        <f t="shared" ca="1" si="62"/>
        <v>53.98927080130094</v>
      </c>
      <c r="Y159" s="314" t="str">
        <f t="shared" ca="1" si="80"/>
        <v/>
      </c>
      <c r="Z159" s="315" t="str">
        <f t="shared" ca="1" si="81"/>
        <v/>
      </c>
      <c r="AA159" s="316" t="str">
        <f t="shared" ca="1" si="82"/>
        <v/>
      </c>
      <c r="AC159" s="310" t="e">
        <f t="shared" ca="1" si="83"/>
        <v>#N/A</v>
      </c>
      <c r="AD159" s="323" t="e">
        <f t="shared" ca="1" si="84"/>
        <v>#N/A</v>
      </c>
      <c r="AE159" s="324">
        <f t="shared" ca="1" si="63"/>
        <v>811.22805894832311</v>
      </c>
      <c r="AG159" s="306">
        <f t="shared" ca="1" si="85"/>
        <v>-27.621730200671323</v>
      </c>
      <c r="AH159" s="304">
        <f t="shared" ca="1" si="86"/>
        <v>-18.189722772973255</v>
      </c>
    </row>
    <row r="160" spans="1:34" x14ac:dyDescent="0.2">
      <c r="A160" s="347">
        <f t="shared" ca="1" si="64"/>
        <v>0.01</v>
      </c>
      <c r="B160" s="304">
        <f t="shared" ca="1" si="65"/>
        <v>6.1599999999999664</v>
      </c>
      <c r="D160" s="306">
        <f t="shared" ca="1" si="66"/>
        <v>-4.9849299608252116</v>
      </c>
      <c r="E160" s="307">
        <f t="shared" ca="1" si="67"/>
        <v>-27.232337584987853</v>
      </c>
      <c r="F160" s="304">
        <f t="shared" ca="1" si="68"/>
        <v>27.684828644170345</v>
      </c>
      <c r="G160" s="306">
        <f t="shared" ca="1" si="69"/>
        <v>41.978308191938382</v>
      </c>
      <c r="H160" s="307">
        <f t="shared" ca="1" si="70"/>
        <v>146.61614920994103</v>
      </c>
      <c r="I160" s="304">
        <f t="shared" ca="1" si="71"/>
        <v>152.5072902120061</v>
      </c>
      <c r="J160" s="306">
        <f t="shared" ca="1" si="72"/>
        <v>198.74008568848004</v>
      </c>
      <c r="K160" s="307">
        <f t="shared" ca="1" si="73"/>
        <v>812.69558205730175</v>
      </c>
      <c r="L160" s="304">
        <f t="shared" ca="1" si="58"/>
        <v>836.64313225826504</v>
      </c>
      <c r="M160" s="306">
        <f t="shared" ca="1" si="74"/>
        <v>1.2919419747433682</v>
      </c>
      <c r="N160" s="304">
        <f t="shared" ca="1" si="75"/>
        <v>74.022822528592201</v>
      </c>
      <c r="P160" s="310">
        <f t="shared" ca="1" si="76"/>
        <v>13</v>
      </c>
      <c r="Q160" s="304">
        <f t="shared" ca="1" si="77"/>
        <v>0</v>
      </c>
      <c r="R160" s="306">
        <f t="shared" ca="1" si="78"/>
        <v>0</v>
      </c>
      <c r="S160" s="307">
        <f t="shared" ca="1" si="79"/>
        <v>2.9792999999999985</v>
      </c>
      <c r="T160" s="304">
        <f t="shared" ca="1" si="59"/>
        <v>29.226932999999988</v>
      </c>
      <c r="U160" s="311">
        <f t="shared" ca="1" si="60"/>
        <v>0</v>
      </c>
      <c r="V160" s="306">
        <f t="shared" ca="1" si="61"/>
        <v>1.1293322299031305</v>
      </c>
      <c r="W160" s="304">
        <f t="shared" ca="1" si="62"/>
        <v>53.786811634521221</v>
      </c>
      <c r="Y160" s="314" t="str">
        <f t="shared" ca="1" si="80"/>
        <v/>
      </c>
      <c r="Z160" s="315" t="str">
        <f t="shared" ca="1" si="81"/>
        <v/>
      </c>
      <c r="AA160" s="316" t="str">
        <f t="shared" ca="1" si="82"/>
        <v/>
      </c>
      <c r="AC160" s="310" t="e">
        <f t="shared" ca="1" si="83"/>
        <v>#N/A</v>
      </c>
      <c r="AD160" s="323" t="e">
        <f t="shared" ca="1" si="84"/>
        <v>#N/A</v>
      </c>
      <c r="AE160" s="324">
        <f t="shared" ca="1" si="63"/>
        <v>812.69558205730175</v>
      </c>
      <c r="AG160" s="306">
        <f t="shared" ca="1" si="85"/>
        <v>-27.552992909629662</v>
      </c>
      <c r="AH160" s="304">
        <f t="shared" ca="1" si="86"/>
        <v>-18.121461686067523</v>
      </c>
    </row>
    <row r="161" spans="1:34" x14ac:dyDescent="0.2">
      <c r="A161" s="347">
        <f t="shared" ca="1" si="64"/>
        <v>0.01</v>
      </c>
      <c r="B161" s="304">
        <f t="shared" ca="1" si="65"/>
        <v>6.1699999999999662</v>
      </c>
      <c r="D161" s="306">
        <f t="shared" ca="1" si="66"/>
        <v>-4.969307728111592</v>
      </c>
      <c r="E161" s="307">
        <f t="shared" ca="1" si="67"/>
        <v>-27.166124977776995</v>
      </c>
      <c r="F161" s="304">
        <f t="shared" ca="1" si="68"/>
        <v>27.616885516018435</v>
      </c>
      <c r="G161" s="306">
        <f t="shared" ca="1" si="69"/>
        <v>41.928615114657269</v>
      </c>
      <c r="H161" s="307">
        <f t="shared" ca="1" si="70"/>
        <v>146.34448796016326</v>
      </c>
      <c r="I161" s="304">
        <f t="shared" ca="1" si="71"/>
        <v>152.23244700705376</v>
      </c>
      <c r="J161" s="306">
        <f t="shared" ca="1" si="72"/>
        <v>199.15962030501302</v>
      </c>
      <c r="K161" s="307">
        <f t="shared" ca="1" si="73"/>
        <v>814.16038524315229</v>
      </c>
      <c r="L161" s="304">
        <f t="shared" ca="1" si="58"/>
        <v>838.16566814640839</v>
      </c>
      <c r="M161" s="306">
        <f t="shared" ca="1" si="74"/>
        <v>1.2917645982321908</v>
      </c>
      <c r="N161" s="304">
        <f t="shared" ca="1" si="75"/>
        <v>74.012659603116973</v>
      </c>
      <c r="P161" s="310">
        <f t="shared" ca="1" si="76"/>
        <v>13</v>
      </c>
      <c r="Q161" s="304">
        <f t="shared" ca="1" si="77"/>
        <v>0</v>
      </c>
      <c r="R161" s="306">
        <f t="shared" ca="1" si="78"/>
        <v>0</v>
      </c>
      <c r="S161" s="307">
        <f t="shared" ca="1" si="79"/>
        <v>2.9792999999999985</v>
      </c>
      <c r="T161" s="304">
        <f t="shared" ca="1" si="59"/>
        <v>29.226932999999988</v>
      </c>
      <c r="U161" s="311">
        <f t="shared" ca="1" si="60"/>
        <v>0</v>
      </c>
      <c r="V161" s="306">
        <f t="shared" ca="1" si="61"/>
        <v>1.129166543020399</v>
      </c>
      <c r="W161" s="304">
        <f t="shared" ca="1" si="62"/>
        <v>53.585258204019247</v>
      </c>
      <c r="Y161" s="314" t="str">
        <f t="shared" ca="1" si="80"/>
        <v/>
      </c>
      <c r="Z161" s="315" t="str">
        <f t="shared" ca="1" si="81"/>
        <v/>
      </c>
      <c r="AA161" s="316" t="str">
        <f t="shared" ca="1" si="82"/>
        <v/>
      </c>
      <c r="AC161" s="310" t="e">
        <f t="shared" ca="1" si="83"/>
        <v>#N/A</v>
      </c>
      <c r="AD161" s="323" t="e">
        <f t="shared" ca="1" si="84"/>
        <v>#N/A</v>
      </c>
      <c r="AE161" s="324">
        <f t="shared" ca="1" si="63"/>
        <v>814.16038524315229</v>
      </c>
      <c r="AG161" s="306">
        <f t="shared" ca="1" si="85"/>
        <v>-27.484559975342904</v>
      </c>
      <c r="AH161" s="304">
        <f t="shared" ca="1" si="86"/>
        <v>-18.053506405706457</v>
      </c>
    </row>
    <row r="162" spans="1:34" x14ac:dyDescent="0.2">
      <c r="A162" s="347">
        <f t="shared" ca="1" si="64"/>
        <v>0.01</v>
      </c>
      <c r="B162" s="304">
        <f t="shared" ca="1" si="65"/>
        <v>6.179999999999966</v>
      </c>
      <c r="D162" s="306">
        <f t="shared" ca="1" si="66"/>
        <v>-4.9537533705470169</v>
      </c>
      <c r="E162" s="307">
        <f t="shared" ca="1" si="67"/>
        <v>-27.100208572622492</v>
      </c>
      <c r="F162" s="304">
        <f t="shared" ca="1" si="68"/>
        <v>27.549246398692063</v>
      </c>
      <c r="G162" s="306">
        <f t="shared" ca="1" si="69"/>
        <v>41.879077580951801</v>
      </c>
      <c r="H162" s="307">
        <f t="shared" ca="1" si="70"/>
        <v>146.07348587443704</v>
      </c>
      <c r="I162" s="304">
        <f t="shared" ca="1" si="71"/>
        <v>151.95828511318737</v>
      </c>
      <c r="J162" s="306">
        <f t="shared" ca="1" si="72"/>
        <v>199.57865876849107</v>
      </c>
      <c r="K162" s="307">
        <f t="shared" ca="1" si="73"/>
        <v>815.62247511232533</v>
      </c>
      <c r="L162" s="304">
        <f t="shared" ca="1" si="58"/>
        <v>839.68545476516715</v>
      </c>
      <c r="M162" s="306">
        <f t="shared" ca="1" si="74"/>
        <v>1.2915867916165944</v>
      </c>
      <c r="N162" s="304">
        <f t="shared" ca="1" si="75"/>
        <v>74.002472034473797</v>
      </c>
      <c r="P162" s="310">
        <f t="shared" ca="1" si="76"/>
        <v>13</v>
      </c>
      <c r="Q162" s="304">
        <f t="shared" ca="1" si="77"/>
        <v>0</v>
      </c>
      <c r="R162" s="306">
        <f t="shared" ca="1" si="78"/>
        <v>0</v>
      </c>
      <c r="S162" s="307">
        <f t="shared" ca="1" si="79"/>
        <v>2.9792999999999985</v>
      </c>
      <c r="T162" s="304">
        <f t="shared" ca="1" si="59"/>
        <v>29.226932999999988</v>
      </c>
      <c r="U162" s="311">
        <f t="shared" ca="1" si="60"/>
        <v>0</v>
      </c>
      <c r="V162" s="306">
        <f t="shared" ca="1" si="61"/>
        <v>1.1290011863006073</v>
      </c>
      <c r="W162" s="304">
        <f t="shared" ca="1" si="62"/>
        <v>53.384605196349298</v>
      </c>
      <c r="Y162" s="314" t="str">
        <f t="shared" ca="1" si="80"/>
        <v/>
      </c>
      <c r="Z162" s="315" t="str">
        <f t="shared" ca="1" si="81"/>
        <v/>
      </c>
      <c r="AA162" s="316" t="str">
        <f t="shared" ca="1" si="82"/>
        <v/>
      </c>
      <c r="AC162" s="310" t="e">
        <f t="shared" ca="1" si="83"/>
        <v>#N/A</v>
      </c>
      <c r="AD162" s="323" t="e">
        <f t="shared" ca="1" si="84"/>
        <v>#N/A</v>
      </c>
      <c r="AE162" s="324">
        <f t="shared" ca="1" si="63"/>
        <v>815.62247511232533</v>
      </c>
      <c r="AG162" s="306">
        <f t="shared" ca="1" si="85"/>
        <v>-27.416429596164072</v>
      </c>
      <c r="AH162" s="304">
        <f t="shared" ca="1" si="86"/>
        <v>-17.985855135105318</v>
      </c>
    </row>
    <row r="163" spans="1:34" x14ac:dyDescent="0.2">
      <c r="A163" s="347">
        <f t="shared" ca="1" si="64"/>
        <v>0.01</v>
      </c>
      <c r="B163" s="304">
        <f t="shared" ca="1" si="65"/>
        <v>6.1899999999999658</v>
      </c>
      <c r="D163" s="306">
        <f t="shared" ca="1" si="66"/>
        <v>-4.9382664864428234</v>
      </c>
      <c r="E163" s="307">
        <f t="shared" ca="1" si="67"/>
        <v>-27.03458663176739</v>
      </c>
      <c r="F163" s="304">
        <f t="shared" ca="1" si="68"/>
        <v>27.481909508650602</v>
      </c>
      <c r="G163" s="306">
        <f t="shared" ca="1" si="69"/>
        <v>41.829694916087369</v>
      </c>
      <c r="H163" s="307">
        <f t="shared" ca="1" si="70"/>
        <v>145.80314000811936</v>
      </c>
      <c r="I163" s="304">
        <f t="shared" ca="1" si="71"/>
        <v>151.68480152276365</v>
      </c>
      <c r="J163" s="306">
        <f t="shared" ca="1" si="72"/>
        <v>199.99720263097626</v>
      </c>
      <c r="K163" s="307">
        <f t="shared" ca="1" si="73"/>
        <v>817.08185824173813</v>
      </c>
      <c r="L163" s="304">
        <f t="shared" ca="1" si="58"/>
        <v>841.20249888358489</v>
      </c>
      <c r="M163" s="306">
        <f t="shared" ca="1" si="74"/>
        <v>1.2914085538770499</v>
      </c>
      <c r="N163" s="304">
        <f t="shared" ca="1" si="75"/>
        <v>73.992259764247947</v>
      </c>
      <c r="P163" s="310">
        <f t="shared" ca="1" si="76"/>
        <v>13</v>
      </c>
      <c r="Q163" s="304">
        <f t="shared" ca="1" si="77"/>
        <v>0</v>
      </c>
      <c r="R163" s="306">
        <f t="shared" ca="1" si="78"/>
        <v>0</v>
      </c>
      <c r="S163" s="307">
        <f t="shared" ca="1" si="79"/>
        <v>2.9792999999999985</v>
      </c>
      <c r="T163" s="304">
        <f t="shared" ca="1" si="59"/>
        <v>29.226932999999988</v>
      </c>
      <c r="U163" s="311">
        <f t="shared" ca="1" si="60"/>
        <v>0</v>
      </c>
      <c r="V163" s="306">
        <f t="shared" ca="1" si="61"/>
        <v>1.1288361588658644</v>
      </c>
      <c r="W163" s="304">
        <f t="shared" ca="1" si="62"/>
        <v>53.184847337427094</v>
      </c>
      <c r="Y163" s="314" t="str">
        <f t="shared" ca="1" si="80"/>
        <v/>
      </c>
      <c r="Z163" s="315" t="str">
        <f t="shared" ca="1" si="81"/>
        <v/>
      </c>
      <c r="AA163" s="316" t="str">
        <f t="shared" ca="1" si="82"/>
        <v/>
      </c>
      <c r="AC163" s="310" t="e">
        <f t="shared" ca="1" si="83"/>
        <v>#N/A</v>
      </c>
      <c r="AD163" s="323" t="e">
        <f t="shared" ca="1" si="84"/>
        <v>#N/A</v>
      </c>
      <c r="AE163" s="324">
        <f t="shared" ca="1" si="63"/>
        <v>817.08185824173813</v>
      </c>
      <c r="AG163" s="306">
        <f t="shared" ca="1" si="85"/>
        <v>-27.348599983754461</v>
      </c>
      <c r="AH163" s="304">
        <f t="shared" ca="1" si="86"/>
        <v>-17.918506090809696</v>
      </c>
    </row>
    <row r="164" spans="1:34" x14ac:dyDescent="0.2">
      <c r="A164" s="347">
        <f t="shared" ca="1" si="64"/>
        <v>0.01</v>
      </c>
      <c r="B164" s="304">
        <f t="shared" ca="1" si="65"/>
        <v>6.1999999999999655</v>
      </c>
      <c r="D164" s="306">
        <f t="shared" ca="1" si="66"/>
        <v>-4.9228466770827088</v>
      </c>
      <c r="E164" s="307">
        <f t="shared" ca="1" si="67"/>
        <v>-26.969257430327282</v>
      </c>
      <c r="F164" s="304">
        <f t="shared" ca="1" si="68"/>
        <v>27.414873075564795</v>
      </c>
      <c r="G164" s="306">
        <f t="shared" ca="1" si="69"/>
        <v>41.780466449316542</v>
      </c>
      <c r="H164" s="307">
        <f t="shared" ca="1" si="70"/>
        <v>145.53344743381609</v>
      </c>
      <c r="I164" s="304">
        <f t="shared" ca="1" si="71"/>
        <v>151.41199324589113</v>
      </c>
      <c r="J164" s="306">
        <f t="shared" ca="1" si="72"/>
        <v>200.41525343780327</v>
      </c>
      <c r="K164" s="307">
        <f t="shared" ca="1" si="73"/>
        <v>818.53854117894775</v>
      </c>
      <c r="L164" s="304">
        <f t="shared" ca="1" si="58"/>
        <v>842.71680724066425</v>
      </c>
      <c r="M164" s="306">
        <f t="shared" ca="1" si="74"/>
        <v>1.2912298839901792</v>
      </c>
      <c r="N164" s="304">
        <f t="shared" ca="1" si="75"/>
        <v>73.982022733804172</v>
      </c>
      <c r="P164" s="310">
        <f t="shared" ca="1" si="76"/>
        <v>13</v>
      </c>
      <c r="Q164" s="304">
        <f t="shared" ca="1" si="77"/>
        <v>0</v>
      </c>
      <c r="R164" s="306">
        <f t="shared" ca="1" si="78"/>
        <v>0</v>
      </c>
      <c r="S164" s="307">
        <f t="shared" ca="1" si="79"/>
        <v>2.9792999999999985</v>
      </c>
      <c r="T164" s="304">
        <f t="shared" ca="1" si="59"/>
        <v>29.226932999999988</v>
      </c>
      <c r="U164" s="311">
        <f t="shared" ca="1" si="60"/>
        <v>0</v>
      </c>
      <c r="V164" s="306">
        <f t="shared" ca="1" si="61"/>
        <v>1.1286714598423078</v>
      </c>
      <c r="W164" s="304">
        <f t="shared" ca="1" si="62"/>
        <v>52.985979392179686</v>
      </c>
      <c r="Y164" s="314" t="str">
        <f t="shared" ca="1" si="80"/>
        <v/>
      </c>
      <c r="Z164" s="315" t="str">
        <f t="shared" ca="1" si="81"/>
        <v/>
      </c>
      <c r="AA164" s="316" t="str">
        <f t="shared" ca="1" si="82"/>
        <v/>
      </c>
      <c r="AC164" s="310" t="e">
        <f t="shared" ca="1" si="83"/>
        <v>#N/A</v>
      </c>
      <c r="AD164" s="323" t="e">
        <f t="shared" ca="1" si="84"/>
        <v>#N/A</v>
      </c>
      <c r="AE164" s="324">
        <f t="shared" ca="1" si="63"/>
        <v>818.53854117894775</v>
      </c>
      <c r="AG164" s="306">
        <f t="shared" ca="1" si="85"/>
        <v>-27.281069362964814</v>
      </c>
      <c r="AH164" s="304">
        <f t="shared" ca="1" si="86"/>
        <v>-17.851457502576821</v>
      </c>
    </row>
    <row r="165" spans="1:34" x14ac:dyDescent="0.2">
      <c r="A165" s="347">
        <f t="shared" ca="1" si="64"/>
        <v>0.01</v>
      </c>
      <c r="B165" s="304">
        <f t="shared" ca="1" si="65"/>
        <v>6.2099999999999653</v>
      </c>
      <c r="D165" s="306">
        <f t="shared" ca="1" si="66"/>
        <v>-4.9074935466962852</v>
      </c>
      <c r="E165" s="307">
        <f t="shared" ca="1" si="67"/>
        <v>-26.90421925617585</v>
      </c>
      <c r="F165" s="304">
        <f t="shared" ca="1" si="68"/>
        <v>27.348135342199274</v>
      </c>
      <c r="G165" s="306">
        <f t="shared" ca="1" si="69"/>
        <v>41.73139151384958</v>
      </c>
      <c r="H165" s="307">
        <f t="shared" ca="1" si="70"/>
        <v>145.26440524125434</v>
      </c>
      <c r="I165" s="304">
        <f t="shared" ca="1" si="71"/>
        <v>151.13985731029905</v>
      </c>
      <c r="J165" s="306">
        <f t="shared" ca="1" si="72"/>
        <v>200.83281272761911</v>
      </c>
      <c r="K165" s="307">
        <f t="shared" ca="1" si="73"/>
        <v>819.99253044232307</v>
      </c>
      <c r="L165" s="304">
        <f t="shared" ca="1" si="58"/>
        <v>844.22838654554312</v>
      </c>
      <c r="M165" s="306">
        <f t="shared" ca="1" si="74"/>
        <v>1.2910507809287393</v>
      </c>
      <c r="N165" s="304">
        <f t="shared" ca="1" si="75"/>
        <v>73.9717608842858</v>
      </c>
      <c r="P165" s="310">
        <f t="shared" ca="1" si="76"/>
        <v>13</v>
      </c>
      <c r="Q165" s="304">
        <f t="shared" ca="1" si="77"/>
        <v>0</v>
      </c>
      <c r="R165" s="306">
        <f t="shared" ca="1" si="78"/>
        <v>0</v>
      </c>
      <c r="S165" s="307">
        <f t="shared" ca="1" si="79"/>
        <v>2.9792999999999985</v>
      </c>
      <c r="T165" s="304">
        <f t="shared" ca="1" si="59"/>
        <v>29.226932999999988</v>
      </c>
      <c r="U165" s="311">
        <f t="shared" ca="1" si="60"/>
        <v>0</v>
      </c>
      <c r="V165" s="306">
        <f t="shared" ca="1" si="61"/>
        <v>1.1285070883600836</v>
      </c>
      <c r="W165" s="304">
        <f t="shared" ca="1" si="62"/>
        <v>52.787996164199029</v>
      </c>
      <c r="Y165" s="314" t="str">
        <f t="shared" ca="1" si="80"/>
        <v/>
      </c>
      <c r="Z165" s="315" t="str">
        <f t="shared" ca="1" si="81"/>
        <v/>
      </c>
      <c r="AA165" s="316" t="str">
        <f t="shared" ca="1" si="82"/>
        <v/>
      </c>
      <c r="AC165" s="310" t="e">
        <f t="shared" ca="1" si="83"/>
        <v>#N/A</v>
      </c>
      <c r="AD165" s="323" t="e">
        <f t="shared" ca="1" si="84"/>
        <v>#N/A</v>
      </c>
      <c r="AE165" s="324">
        <f t="shared" ca="1" si="63"/>
        <v>819.99253044232307</v>
      </c>
      <c r="AG165" s="306">
        <f t="shared" ca="1" si="85"/>
        <v>-27.213835971717725</v>
      </c>
      <c r="AH165" s="304">
        <f t="shared" ca="1" si="86"/>
        <v>-17.784707613258053</v>
      </c>
    </row>
    <row r="166" spans="1:34" x14ac:dyDescent="0.2">
      <c r="A166" s="347">
        <f t="shared" ca="1" si="64"/>
        <v>0.01</v>
      </c>
      <c r="B166" s="304">
        <f t="shared" ca="1" si="65"/>
        <v>6.2199999999999651</v>
      </c>
      <c r="D166" s="306">
        <f t="shared" ca="1" si="66"/>
        <v>-4.8922067024329223</v>
      </c>
      <c r="E166" s="307">
        <f t="shared" ca="1" si="67"/>
        <v>-26.839470409831542</v>
      </c>
      <c r="F166" s="304">
        <f t="shared" ca="1" si="68"/>
        <v>27.28169456429627</v>
      </c>
      <c r="G166" s="306">
        <f t="shared" ca="1" si="69"/>
        <v>41.682469446825252</v>
      </c>
      <c r="H166" s="307">
        <f t="shared" ca="1" si="70"/>
        <v>144.99601053715602</v>
      </c>
      <c r="I166" s="304">
        <f t="shared" ca="1" si="71"/>
        <v>150.8683907612081</v>
      </c>
      <c r="J166" s="306">
        <f t="shared" ca="1" si="72"/>
        <v>201.24988203242248</v>
      </c>
      <c r="K166" s="307">
        <f t="shared" ca="1" si="73"/>
        <v>821.44383252121509</v>
      </c>
      <c r="L166" s="304">
        <f t="shared" ca="1" si="58"/>
        <v>845.73724347766904</v>
      </c>
      <c r="M166" s="306">
        <f t="shared" ca="1" si="74"/>
        <v>1.2908712436616068</v>
      </c>
      <c r="N166" s="304">
        <f t="shared" ca="1" si="75"/>
        <v>73.961474156613789</v>
      </c>
      <c r="P166" s="310">
        <f t="shared" ca="1" si="76"/>
        <v>13</v>
      </c>
      <c r="Q166" s="304">
        <f t="shared" ca="1" si="77"/>
        <v>0</v>
      </c>
      <c r="R166" s="306">
        <f t="shared" ca="1" si="78"/>
        <v>0</v>
      </c>
      <c r="S166" s="307">
        <f t="shared" ca="1" si="79"/>
        <v>2.9792999999999985</v>
      </c>
      <c r="T166" s="304">
        <f t="shared" ca="1" si="59"/>
        <v>29.226932999999988</v>
      </c>
      <c r="U166" s="311">
        <f t="shared" ca="1" si="60"/>
        <v>0</v>
      </c>
      <c r="V166" s="306">
        <f t="shared" ca="1" si="61"/>
        <v>1.128343043553321</v>
      </c>
      <c r="W166" s="304">
        <f t="shared" ca="1" si="62"/>
        <v>52.590892495399217</v>
      </c>
      <c r="Y166" s="314" t="str">
        <f t="shared" ca="1" si="80"/>
        <v/>
      </c>
      <c r="Z166" s="315" t="str">
        <f t="shared" ca="1" si="81"/>
        <v/>
      </c>
      <c r="AA166" s="316" t="str">
        <f t="shared" ca="1" si="82"/>
        <v/>
      </c>
      <c r="AC166" s="310" t="e">
        <f t="shared" ca="1" si="83"/>
        <v>#N/A</v>
      </c>
      <c r="AD166" s="323" t="e">
        <f t="shared" ca="1" si="84"/>
        <v>#N/A</v>
      </c>
      <c r="AE166" s="324">
        <f t="shared" ca="1" si="63"/>
        <v>821.44383252121509</v>
      </c>
      <c r="AG166" s="306">
        <f t="shared" ca="1" si="85"/>
        <v>-27.146898060891207</v>
      </c>
      <c r="AH166" s="304">
        <f t="shared" ca="1" si="86"/>
        <v>-17.718254678682595</v>
      </c>
    </row>
    <row r="167" spans="1:34" x14ac:dyDescent="0.2">
      <c r="A167" s="347">
        <f t="shared" ca="1" si="64"/>
        <v>0.01</v>
      </c>
      <c r="B167" s="304">
        <f t="shared" ca="1" si="65"/>
        <v>6.2299999999999649</v>
      </c>
      <c r="D167" s="306">
        <f t="shared" ca="1" si="66"/>
        <v>-4.8769857543358439</v>
      </c>
      <c r="E167" s="307">
        <f t="shared" ca="1" si="67"/>
        <v>-26.77500920434548</v>
      </c>
      <c r="F167" s="304">
        <f t="shared" ca="1" si="68"/>
        <v>27.215549010460542</v>
      </c>
      <c r="G167" s="306">
        <f t="shared" ca="1" si="69"/>
        <v>41.633699589281896</v>
      </c>
      <c r="H167" s="307">
        <f t="shared" ca="1" si="70"/>
        <v>144.72826044511257</v>
      </c>
      <c r="I167" s="304">
        <f t="shared" ca="1" si="71"/>
        <v>150.59759066120182</v>
      </c>
      <c r="J167" s="306">
        <f t="shared" ca="1" si="72"/>
        <v>201.66646287760301</v>
      </c>
      <c r="K167" s="307">
        <f t="shared" ca="1" si="73"/>
        <v>822.89245387612641</v>
      </c>
      <c r="L167" s="304">
        <f t="shared" ca="1" si="58"/>
        <v>847.24338468697204</v>
      </c>
      <c r="M167" s="306">
        <f t="shared" ca="1" si="74"/>
        <v>1.2906912711537615</v>
      </c>
      <c r="N167" s="304">
        <f t="shared" ca="1" si="75"/>
        <v>73.951162491485874</v>
      </c>
      <c r="P167" s="310">
        <f t="shared" ca="1" si="76"/>
        <v>13</v>
      </c>
      <c r="Q167" s="304">
        <f t="shared" ca="1" si="77"/>
        <v>0</v>
      </c>
      <c r="R167" s="306">
        <f t="shared" ca="1" si="78"/>
        <v>0</v>
      </c>
      <c r="S167" s="307">
        <f t="shared" ca="1" si="79"/>
        <v>2.9792999999999985</v>
      </c>
      <c r="T167" s="304">
        <f t="shared" ca="1" si="59"/>
        <v>29.226932999999988</v>
      </c>
      <c r="U167" s="311">
        <f t="shared" ca="1" si="60"/>
        <v>0</v>
      </c>
      <c r="V167" s="306">
        <f t="shared" ca="1" si="61"/>
        <v>1.1281793245601084</v>
      </c>
      <c r="W167" s="304">
        <f t="shared" ca="1" si="62"/>
        <v>52.394663265677124</v>
      </c>
      <c r="Y167" s="314" t="str">
        <f t="shared" ca="1" si="80"/>
        <v/>
      </c>
      <c r="Z167" s="315" t="str">
        <f t="shared" ca="1" si="81"/>
        <v/>
      </c>
      <c r="AA167" s="316" t="str">
        <f t="shared" ca="1" si="82"/>
        <v/>
      </c>
      <c r="AC167" s="310" t="e">
        <f t="shared" ca="1" si="83"/>
        <v>#N/A</v>
      </c>
      <c r="AD167" s="323" t="e">
        <f t="shared" ca="1" si="84"/>
        <v>#N/A</v>
      </c>
      <c r="AE167" s="324">
        <f t="shared" ca="1" si="63"/>
        <v>822.89245387612641</v>
      </c>
      <c r="AG167" s="306">
        <f t="shared" ca="1" si="85"/>
        <v>-27.08025389420358</v>
      </c>
      <c r="AH167" s="304">
        <f t="shared" ca="1" si="86"/>
        <v>-17.652096967542459</v>
      </c>
    </row>
    <row r="168" spans="1:34" x14ac:dyDescent="0.2">
      <c r="A168" s="347">
        <f t="shared" ca="1" si="64"/>
        <v>0.01</v>
      </c>
      <c r="B168" s="304">
        <f t="shared" ca="1" si="65"/>
        <v>6.2399999999999647</v>
      </c>
      <c r="D168" s="306">
        <f t="shared" ca="1" si="66"/>
        <v>-4.8618303153165128</v>
      </c>
      <c r="E168" s="307">
        <f t="shared" ca="1" si="67"/>
        <v>-26.710833965190474</v>
      </c>
      <c r="F168" s="304">
        <f t="shared" ca="1" si="68"/>
        <v>27.149696962045521</v>
      </c>
      <c r="G168" s="306">
        <f t="shared" ca="1" si="69"/>
        <v>41.585081286128734</v>
      </c>
      <c r="H168" s="307">
        <f t="shared" ca="1" si="70"/>
        <v>144.46115210546066</v>
      </c>
      <c r="I168" s="304">
        <f t="shared" ca="1" si="71"/>
        <v>150.32745409009951</v>
      </c>
      <c r="J168" s="306">
        <f t="shared" ca="1" si="72"/>
        <v>202.08255678198006</v>
      </c>
      <c r="K168" s="307">
        <f t="shared" ca="1" si="73"/>
        <v>824.33840093887932</v>
      </c>
      <c r="L168" s="304">
        <f t="shared" ca="1" si="58"/>
        <v>848.74681679403716</v>
      </c>
      <c r="M168" s="306">
        <f t="shared" ca="1" si="74"/>
        <v>1.2905108623662704</v>
      </c>
      <c r="N168" s="304">
        <f t="shared" ca="1" si="75"/>
        <v>73.940825829375555</v>
      </c>
      <c r="P168" s="310">
        <f t="shared" ca="1" si="76"/>
        <v>13</v>
      </c>
      <c r="Q168" s="304">
        <f t="shared" ca="1" si="77"/>
        <v>0</v>
      </c>
      <c r="R168" s="306">
        <f t="shared" ca="1" si="78"/>
        <v>0</v>
      </c>
      <c r="S168" s="307">
        <f t="shared" ca="1" si="79"/>
        <v>2.9792999999999985</v>
      </c>
      <c r="T168" s="304">
        <f t="shared" ca="1" si="59"/>
        <v>29.226932999999988</v>
      </c>
      <c r="U168" s="311">
        <f t="shared" ca="1" si="60"/>
        <v>0</v>
      </c>
      <c r="V168" s="306">
        <f t="shared" ca="1" si="61"/>
        <v>1.12801593052247</v>
      </c>
      <c r="W168" s="304">
        <f t="shared" ca="1" si="62"/>
        <v>52.199303392576816</v>
      </c>
      <c r="Y168" s="314" t="str">
        <f t="shared" ca="1" si="80"/>
        <v/>
      </c>
      <c r="Z168" s="315" t="str">
        <f t="shared" ca="1" si="81"/>
        <v/>
      </c>
      <c r="AA168" s="316" t="str">
        <f t="shared" ca="1" si="82"/>
        <v/>
      </c>
      <c r="AC168" s="310" t="e">
        <f t="shared" ca="1" si="83"/>
        <v>#N/A</v>
      </c>
      <c r="AD168" s="323" t="e">
        <f t="shared" ca="1" si="84"/>
        <v>#N/A</v>
      </c>
      <c r="AE168" s="324">
        <f t="shared" ca="1" si="63"/>
        <v>824.33840093887932</v>
      </c>
      <c r="AG168" s="306">
        <f t="shared" ca="1" si="85"/>
        <v>-27.013901748099393</v>
      </c>
      <c r="AH168" s="304">
        <f t="shared" ca="1" si="86"/>
        <v>-17.586232761278538</v>
      </c>
    </row>
    <row r="169" spans="1:34" x14ac:dyDescent="0.2">
      <c r="A169" s="347">
        <f t="shared" ca="1" si="64"/>
        <v>0.01</v>
      </c>
      <c r="B169" s="304">
        <f t="shared" ca="1" si="65"/>
        <v>6.2499999999999645</v>
      </c>
      <c r="D169" s="306">
        <f t="shared" ca="1" si="66"/>
        <v>-4.84674000112929</v>
      </c>
      <c r="E169" s="307">
        <f t="shared" ca="1" si="67"/>
        <v>-26.646943030151263</v>
      </c>
      <c r="F169" s="304">
        <f t="shared" ca="1" si="68"/>
        <v>27.0841367130406</v>
      </c>
      <c r="G169" s="306">
        <f t="shared" ca="1" si="69"/>
        <v>41.536613886117443</v>
      </c>
      <c r="H169" s="307">
        <f t="shared" ca="1" si="70"/>
        <v>144.19468267515913</v>
      </c>
      <c r="I169" s="304">
        <f t="shared" ca="1" si="71"/>
        <v>150.05797814482989</v>
      </c>
      <c r="J169" s="306">
        <f t="shared" ca="1" si="72"/>
        <v>202.49816525784129</v>
      </c>
      <c r="K169" s="307">
        <f t="shared" ca="1" si="73"/>
        <v>825.7816801127824</v>
      </c>
      <c r="L169" s="304">
        <f t="shared" ca="1" si="58"/>
        <v>850.24754639027435</v>
      </c>
      <c r="M169" s="306">
        <f t="shared" ca="1" si="74"/>
        <v>1.2903300162562723</v>
      </c>
      <c r="N169" s="304">
        <f t="shared" ca="1" si="75"/>
        <v>73.930464110531304</v>
      </c>
      <c r="P169" s="310">
        <f t="shared" ca="1" si="76"/>
        <v>13</v>
      </c>
      <c r="Q169" s="304">
        <f t="shared" ca="1" si="77"/>
        <v>0</v>
      </c>
      <c r="R169" s="306">
        <f t="shared" ca="1" si="78"/>
        <v>0</v>
      </c>
      <c r="S169" s="307">
        <f t="shared" ca="1" si="79"/>
        <v>2.9792999999999985</v>
      </c>
      <c r="T169" s="304">
        <f t="shared" ca="1" si="59"/>
        <v>29.226932999999988</v>
      </c>
      <c r="U169" s="311">
        <f t="shared" ca="1" si="60"/>
        <v>0</v>
      </c>
      <c r="V169" s="306">
        <f t="shared" ca="1" si="61"/>
        <v>1.1278528605863425</v>
      </c>
      <c r="W169" s="304">
        <f t="shared" ca="1" si="62"/>
        <v>52.004807830957091</v>
      </c>
      <c r="Y169" s="314" t="str">
        <f t="shared" ca="1" si="80"/>
        <v/>
      </c>
      <c r="Z169" s="315" t="str">
        <f t="shared" ca="1" si="81"/>
        <v/>
      </c>
      <c r="AA169" s="316" t="str">
        <f t="shared" ca="1" si="82"/>
        <v/>
      </c>
      <c r="AC169" s="310" t="e">
        <f t="shared" ca="1" si="83"/>
        <v>#N/A</v>
      </c>
      <c r="AD169" s="323" t="e">
        <f t="shared" ca="1" si="84"/>
        <v>#N/A</v>
      </c>
      <c r="AE169" s="324">
        <f t="shared" ca="1" si="63"/>
        <v>825.7816801127824</v>
      </c>
      <c r="AG169" s="306">
        <f t="shared" ca="1" si="85"/>
        <v>-26.947839911636713</v>
      </c>
      <c r="AH169" s="304">
        <f t="shared" ca="1" si="86"/>
        <v>-17.520660353967994</v>
      </c>
    </row>
    <row r="170" spans="1:34" x14ac:dyDescent="0.2">
      <c r="A170" s="347">
        <f t="shared" ca="1" si="64"/>
        <v>0.01</v>
      </c>
      <c r="B170" s="304">
        <f t="shared" ca="1" si="65"/>
        <v>6.2599999999999643</v>
      </c>
      <c r="D170" s="306">
        <f t="shared" ca="1" si="66"/>
        <v>-4.8317144303463078</v>
      </c>
      <c r="E170" s="307">
        <f t="shared" ca="1" si="67"/>
        <v>-26.583334749215794</v>
      </c>
      <c r="F170" s="304">
        <f t="shared" ca="1" si="68"/>
        <v>27.018866569959606</v>
      </c>
      <c r="G170" s="306">
        <f t="shared" ca="1" si="69"/>
        <v>41.488296741813983</v>
      </c>
      <c r="H170" s="307">
        <f t="shared" ca="1" si="70"/>
        <v>143.92884932766697</v>
      </c>
      <c r="I170" s="304">
        <f t="shared" ca="1" si="71"/>
        <v>149.78915993930627</v>
      </c>
      <c r="J170" s="306">
        <f t="shared" ca="1" si="72"/>
        <v>202.91328981098096</v>
      </c>
      <c r="K170" s="307">
        <f t="shared" ca="1" si="73"/>
        <v>827.22229777279654</v>
      </c>
      <c r="L170" s="304">
        <f t="shared" ca="1" si="58"/>
        <v>851.74558003808886</v>
      </c>
      <c r="M170" s="306">
        <f t="shared" ca="1" si="74"/>
        <v>1.2901487317769607</v>
      </c>
      <c r="N170" s="304">
        <f t="shared" ca="1" si="75"/>
        <v>73.920077274975526</v>
      </c>
      <c r="P170" s="310">
        <f t="shared" ca="1" si="76"/>
        <v>13</v>
      </c>
      <c r="Q170" s="304">
        <f t="shared" ca="1" si="77"/>
        <v>0</v>
      </c>
      <c r="R170" s="306">
        <f t="shared" ca="1" si="78"/>
        <v>0</v>
      </c>
      <c r="S170" s="307">
        <f t="shared" ca="1" si="79"/>
        <v>2.9792999999999985</v>
      </c>
      <c r="T170" s="304">
        <f t="shared" ca="1" si="59"/>
        <v>29.226932999999988</v>
      </c>
      <c r="U170" s="311">
        <f t="shared" ca="1" si="60"/>
        <v>0</v>
      </c>
      <c r="V170" s="306">
        <f t="shared" ca="1" si="61"/>
        <v>1.1276901139015507</v>
      </c>
      <c r="W170" s="304">
        <f t="shared" ca="1" si="62"/>
        <v>51.811171572662616</v>
      </c>
      <c r="Y170" s="314" t="str">
        <f t="shared" ca="1" si="80"/>
        <v/>
      </c>
      <c r="Z170" s="315" t="str">
        <f t="shared" ca="1" si="81"/>
        <v/>
      </c>
      <c r="AA170" s="316" t="str">
        <f t="shared" ca="1" si="82"/>
        <v/>
      </c>
      <c r="AC170" s="310" t="e">
        <f t="shared" ca="1" si="83"/>
        <v>#N/A</v>
      </c>
      <c r="AD170" s="323" t="e">
        <f t="shared" ca="1" si="84"/>
        <v>#N/A</v>
      </c>
      <c r="AE170" s="324">
        <f t="shared" ca="1" si="63"/>
        <v>827.22229777279654</v>
      </c>
      <c r="AG170" s="306">
        <f t="shared" ca="1" si="85"/>
        <v>-26.882066686375396</v>
      </c>
      <c r="AH170" s="304">
        <f t="shared" ca="1" si="86"/>
        <v>-17.455378052212641</v>
      </c>
    </row>
    <row r="171" spans="1:34" x14ac:dyDescent="0.2">
      <c r="A171" s="347">
        <f t="shared" ca="1" si="64"/>
        <v>0.01</v>
      </c>
      <c r="B171" s="304">
        <f t="shared" ca="1" si="65"/>
        <v>6.269999999999964</v>
      </c>
      <c r="D171" s="306">
        <f t="shared" ca="1" si="66"/>
        <v>-4.8167532243326443</v>
      </c>
      <c r="E171" s="307">
        <f t="shared" ca="1" si="67"/>
        <v>-26.520007484467669</v>
      </c>
      <c r="F171" s="304">
        <f t="shared" ca="1" si="68"/>
        <v>26.953884851730376</v>
      </c>
      <c r="G171" s="306">
        <f t="shared" ca="1" si="69"/>
        <v>41.440129209570657</v>
      </c>
      <c r="H171" s="307">
        <f t="shared" ca="1" si="70"/>
        <v>143.6636492528223</v>
      </c>
      <c r="I171" s="304">
        <f t="shared" ca="1" si="71"/>
        <v>149.52099660430255</v>
      </c>
      <c r="J171" s="306">
        <f t="shared" ca="1" si="72"/>
        <v>203.32793194073787</v>
      </c>
      <c r="K171" s="307">
        <f t="shared" ca="1" si="73"/>
        <v>828.66026026569898</v>
      </c>
      <c r="L171" s="304">
        <f t="shared" ca="1" si="58"/>
        <v>853.24092427104858</v>
      </c>
      <c r="M171" s="306">
        <f t="shared" ca="1" si="74"/>
        <v>1.2899670078775676</v>
      </c>
      <c r="N171" s="304">
        <f t="shared" ca="1" si="75"/>
        <v>73.909665262503637</v>
      </c>
      <c r="P171" s="310">
        <f t="shared" ca="1" si="76"/>
        <v>13</v>
      </c>
      <c r="Q171" s="304">
        <f t="shared" ca="1" si="77"/>
        <v>0</v>
      </c>
      <c r="R171" s="306">
        <f t="shared" ca="1" si="78"/>
        <v>0</v>
      </c>
      <c r="S171" s="307">
        <f t="shared" ca="1" si="79"/>
        <v>2.9792999999999985</v>
      </c>
      <c r="T171" s="304">
        <f t="shared" ca="1" si="59"/>
        <v>29.226932999999988</v>
      </c>
      <c r="U171" s="311">
        <f t="shared" ca="1" si="60"/>
        <v>0</v>
      </c>
      <c r="V171" s="306">
        <f t="shared" ca="1" si="61"/>
        <v>1.1275276896217874</v>
      </c>
      <c r="W171" s="304">
        <f t="shared" ca="1" si="62"/>
        <v>51.618389646198672</v>
      </c>
      <c r="Y171" s="314" t="str">
        <f t="shared" ca="1" si="80"/>
        <v/>
      </c>
      <c r="Z171" s="315" t="str">
        <f t="shared" ca="1" si="81"/>
        <v/>
      </c>
      <c r="AA171" s="316" t="str">
        <f t="shared" ca="1" si="82"/>
        <v/>
      </c>
      <c r="AC171" s="310" t="e">
        <f t="shared" ca="1" si="83"/>
        <v>#N/A</v>
      </c>
      <c r="AD171" s="323" t="e">
        <f t="shared" ca="1" si="84"/>
        <v>#N/A</v>
      </c>
      <c r="AE171" s="324">
        <f t="shared" ca="1" si="63"/>
        <v>828.66026026569898</v>
      </c>
      <c r="AG171" s="306">
        <f t="shared" ca="1" si="85"/>
        <v>-26.81658038626659</v>
      </c>
      <c r="AH171" s="304">
        <f t="shared" ca="1" si="86"/>
        <v>-17.390384175028579</v>
      </c>
    </row>
    <row r="172" spans="1:34" x14ac:dyDescent="0.2">
      <c r="A172" s="347">
        <f t="shared" ca="1" si="64"/>
        <v>0.01</v>
      </c>
      <c r="B172" s="304">
        <f t="shared" ca="1" si="65"/>
        <v>6.2799999999999638</v>
      </c>
      <c r="D172" s="306">
        <f t="shared" ca="1" si="66"/>
        <v>-4.8018560072217662</v>
      </c>
      <c r="E172" s="307">
        <f t="shared" ca="1" si="67"/>
        <v>-26.456959609979762</v>
      </c>
      <c r="F172" s="304">
        <f t="shared" ca="1" si="68"/>
        <v>26.889189889585595</v>
      </c>
      <c r="G172" s="306">
        <f t="shared" ca="1" si="69"/>
        <v>41.392110649498441</v>
      </c>
      <c r="H172" s="307">
        <f t="shared" ca="1" si="70"/>
        <v>143.39907965672251</v>
      </c>
      <c r="I172" s="304">
        <f t="shared" ca="1" si="71"/>
        <v>149.25348528733045</v>
      </c>
      <c r="J172" s="306">
        <f t="shared" ca="1" si="72"/>
        <v>203.74209314003321</v>
      </c>
      <c r="K172" s="307">
        <f t="shared" ca="1" si="73"/>
        <v>830.09557391024669</v>
      </c>
      <c r="L172" s="304">
        <f t="shared" ca="1" si="58"/>
        <v>854.73358559405153</v>
      </c>
      <c r="M172" s="306">
        <f t="shared" ca="1" si="74"/>
        <v>1.2897848435033481</v>
      </c>
      <c r="N172" s="304">
        <f t="shared" ca="1" si="75"/>
        <v>73.899228012683224</v>
      </c>
      <c r="P172" s="310">
        <f t="shared" ca="1" si="76"/>
        <v>13</v>
      </c>
      <c r="Q172" s="304">
        <f t="shared" ca="1" si="77"/>
        <v>0</v>
      </c>
      <c r="R172" s="306">
        <f t="shared" ca="1" si="78"/>
        <v>0</v>
      </c>
      <c r="S172" s="307">
        <f t="shared" ca="1" si="79"/>
        <v>2.9792999999999985</v>
      </c>
      <c r="T172" s="304">
        <f t="shared" ca="1" si="59"/>
        <v>29.226932999999988</v>
      </c>
      <c r="U172" s="311">
        <f t="shared" ca="1" si="60"/>
        <v>0</v>
      </c>
      <c r="V172" s="306">
        <f t="shared" ca="1" si="61"/>
        <v>1.1273655869045862</v>
      </c>
      <c r="W172" s="304">
        <f t="shared" ca="1" si="62"/>
        <v>51.426457116408734</v>
      </c>
      <c r="Y172" s="314" t="str">
        <f t="shared" ca="1" si="80"/>
        <v/>
      </c>
      <c r="Z172" s="315" t="str">
        <f t="shared" ca="1" si="81"/>
        <v/>
      </c>
      <c r="AA172" s="316" t="str">
        <f t="shared" ca="1" si="82"/>
        <v/>
      </c>
      <c r="AC172" s="310" t="e">
        <f t="shared" ca="1" si="83"/>
        <v>#N/A</v>
      </c>
      <c r="AD172" s="323" t="e">
        <f t="shared" ca="1" si="84"/>
        <v>#N/A</v>
      </c>
      <c r="AE172" s="324">
        <f t="shared" ca="1" si="63"/>
        <v>830.09557391024669</v>
      </c>
      <c r="AG172" s="306">
        <f t="shared" ca="1" si="85"/>
        <v>-26.75137933754344</v>
      </c>
      <c r="AH172" s="304">
        <f t="shared" ca="1" si="86"/>
        <v>-17.325677053737017</v>
      </c>
    </row>
    <row r="173" spans="1:34" x14ac:dyDescent="0.2">
      <c r="A173" s="347">
        <f t="shared" ca="1" si="64"/>
        <v>0.01</v>
      </c>
      <c r="B173" s="304">
        <f t="shared" ca="1" si="65"/>
        <v>6.2899999999999636</v>
      </c>
      <c r="D173" s="306">
        <f t="shared" ca="1" si="66"/>
        <v>-4.7870224058911619</v>
      </c>
      <c r="E173" s="307">
        <f t="shared" ca="1" si="67"/>
        <v>-26.394189511708802</v>
      </c>
      <c r="F173" s="304">
        <f t="shared" ca="1" si="68"/>
        <v>26.82478002695461</v>
      </c>
      <c r="G173" s="306">
        <f t="shared" ca="1" si="69"/>
        <v>41.34424042543953</v>
      </c>
      <c r="H173" s="307">
        <f t="shared" ca="1" si="70"/>
        <v>143.13513776160542</v>
      </c>
      <c r="I173" s="304">
        <f t="shared" ca="1" si="71"/>
        <v>148.98662315251767</v>
      </c>
      <c r="J173" s="306">
        <f t="shared" ca="1" si="72"/>
        <v>204.15577489540789</v>
      </c>
      <c r="K173" s="307">
        <f t="shared" ca="1" si="73"/>
        <v>831.52824499733833</v>
      </c>
      <c r="L173" s="304">
        <f t="shared" ca="1" si="58"/>
        <v>856.22357048349124</v>
      </c>
      <c r="M173" s="306">
        <f t="shared" ca="1" si="74"/>
        <v>1.2896022375955627</v>
      </c>
      <c r="N173" s="304">
        <f t="shared" ca="1" si="75"/>
        <v>73.888765464852966</v>
      </c>
      <c r="P173" s="310">
        <f t="shared" ca="1" si="76"/>
        <v>13</v>
      </c>
      <c r="Q173" s="304">
        <f t="shared" ca="1" si="77"/>
        <v>0</v>
      </c>
      <c r="R173" s="306">
        <f t="shared" ca="1" si="78"/>
        <v>0</v>
      </c>
      <c r="S173" s="307">
        <f t="shared" ca="1" si="79"/>
        <v>2.9792999999999985</v>
      </c>
      <c r="T173" s="304">
        <f t="shared" ca="1" si="59"/>
        <v>29.226932999999988</v>
      </c>
      <c r="U173" s="311">
        <f t="shared" ca="1" si="60"/>
        <v>0</v>
      </c>
      <c r="V173" s="306">
        <f t="shared" ca="1" si="61"/>
        <v>1.1272038049113022</v>
      </c>
      <c r="W173" s="304">
        <f t="shared" ca="1" si="62"/>
        <v>51.235369084155842</v>
      </c>
      <c r="Y173" s="314" t="str">
        <f t="shared" ca="1" si="80"/>
        <v/>
      </c>
      <c r="Z173" s="315" t="str">
        <f t="shared" ca="1" si="81"/>
        <v/>
      </c>
      <c r="AA173" s="316" t="str">
        <f t="shared" ca="1" si="82"/>
        <v/>
      </c>
      <c r="AC173" s="310" t="e">
        <f t="shared" ca="1" si="83"/>
        <v>#N/A</v>
      </c>
      <c r="AD173" s="323" t="e">
        <f t="shared" ca="1" si="84"/>
        <v>#N/A</v>
      </c>
      <c r="AE173" s="324">
        <f t="shared" ca="1" si="63"/>
        <v>831.52824499733833</v>
      </c>
      <c r="AG173" s="306">
        <f t="shared" ca="1" si="85"/>
        <v>-26.686461878612761</v>
      </c>
      <c r="AH173" s="304">
        <f t="shared" ca="1" si="86"/>
        <v>-17.261255031856059</v>
      </c>
    </row>
    <row r="174" spans="1:34" x14ac:dyDescent="0.2">
      <c r="A174" s="347">
        <f t="shared" ca="1" si="64"/>
        <v>0.01</v>
      </c>
      <c r="B174" s="304">
        <f t="shared" ca="1" si="65"/>
        <v>6.2999999999999634</v>
      </c>
      <c r="D174" s="306">
        <f t="shared" ca="1" si="66"/>
        <v>-4.7722520499382917</v>
      </c>
      <c r="E174" s="307">
        <f t="shared" ca="1" si="67"/>
        <v>-26.331695587391103</v>
      </c>
      <c r="F174" s="304">
        <f t="shared" ca="1" si="68"/>
        <v>26.76065361935639</v>
      </c>
      <c r="G174" s="306">
        <f t="shared" ca="1" si="69"/>
        <v>41.296517904940146</v>
      </c>
      <c r="H174" s="307">
        <f t="shared" ca="1" si="70"/>
        <v>142.87182080573152</v>
      </c>
      <c r="I174" s="304">
        <f t="shared" ca="1" si="71"/>
        <v>148.7204073804873</v>
      </c>
      <c r="J174" s="306">
        <f t="shared" ca="1" si="72"/>
        <v>204.5689786870598</v>
      </c>
      <c r="K174" s="307">
        <f t="shared" ca="1" si="73"/>
        <v>832.95827979017497</v>
      </c>
      <c r="L174" s="304">
        <f t="shared" ca="1" si="58"/>
        <v>857.71088538742129</v>
      </c>
      <c r="M174" s="306">
        <f t="shared" ca="1" si="74"/>
        <v>1.2894191890914615</v>
      </c>
      <c r="N174" s="304">
        <f t="shared" ca="1" si="75"/>
        <v>73.878277558121781</v>
      </c>
      <c r="P174" s="310">
        <f t="shared" ca="1" si="76"/>
        <v>13</v>
      </c>
      <c r="Q174" s="304">
        <f t="shared" ca="1" si="77"/>
        <v>0</v>
      </c>
      <c r="R174" s="306">
        <f t="shared" ca="1" si="78"/>
        <v>0</v>
      </c>
      <c r="S174" s="307">
        <f t="shared" ca="1" si="79"/>
        <v>2.9792999999999985</v>
      </c>
      <c r="T174" s="304">
        <f t="shared" ca="1" si="59"/>
        <v>29.226932999999988</v>
      </c>
      <c r="U174" s="311">
        <f t="shared" ca="1" si="60"/>
        <v>0</v>
      </c>
      <c r="V174" s="306">
        <f t="shared" ca="1" si="61"/>
        <v>1.1270423428070879</v>
      </c>
      <c r="W174" s="304">
        <f t="shared" ca="1" si="62"/>
        <v>51.045120686006882</v>
      </c>
      <c r="Y174" s="314" t="str">
        <f t="shared" ca="1" si="80"/>
        <v/>
      </c>
      <c r="Z174" s="315" t="str">
        <f t="shared" ca="1" si="81"/>
        <v/>
      </c>
      <c r="AA174" s="316" t="str">
        <f t="shared" ca="1" si="82"/>
        <v/>
      </c>
      <c r="AC174" s="310" t="e">
        <f t="shared" ca="1" si="83"/>
        <v>#N/A</v>
      </c>
      <c r="AD174" s="323" t="e">
        <f t="shared" ca="1" si="84"/>
        <v>#N/A</v>
      </c>
      <c r="AE174" s="324">
        <f t="shared" ca="1" si="63"/>
        <v>832.95827979017497</v>
      </c>
      <c r="AG174" s="306">
        <f t="shared" ca="1" si="85"/>
        <v>-26.621826359947967</v>
      </c>
      <c r="AH174" s="304">
        <f t="shared" ca="1" si="86"/>
        <v>-17.197116464993744</v>
      </c>
    </row>
    <row r="175" spans="1:34" x14ac:dyDescent="0.2">
      <c r="A175" s="347">
        <f t="shared" ca="1" si="64"/>
        <v>0.01</v>
      </c>
      <c r="B175" s="304">
        <f t="shared" ca="1" si="65"/>
        <v>6.3099999999999632</v>
      </c>
      <c r="D175" s="306">
        <f t="shared" ca="1" si="66"/>
        <v>-4.7575445716567346</v>
      </c>
      <c r="E175" s="307">
        <f t="shared" ca="1" si="67"/>
        <v>-26.269476246439403</v>
      </c>
      <c r="F175" s="304">
        <f t="shared" ca="1" si="68"/>
        <v>26.696809034293679</v>
      </c>
      <c r="G175" s="306">
        <f t="shared" ca="1" si="69"/>
        <v>41.248942459223578</v>
      </c>
      <c r="H175" s="307">
        <f t="shared" ca="1" si="70"/>
        <v>142.60912604326711</v>
      </c>
      <c r="I175" s="304">
        <f t="shared" ca="1" si="71"/>
        <v>148.45483516823822</v>
      </c>
      <c r="J175" s="306">
        <f t="shared" ca="1" si="72"/>
        <v>204.98170598888061</v>
      </c>
      <c r="K175" s="307">
        <f t="shared" ca="1" si="73"/>
        <v>834.38568452441996</v>
      </c>
      <c r="L175" s="304">
        <f t="shared" ca="1" si="58"/>
        <v>859.19553672571919</v>
      </c>
      <c r="M175" s="306">
        <f t="shared" ca="1" si="74"/>
        <v>1.2892356969242673</v>
      </c>
      <c r="N175" s="304">
        <f t="shared" ca="1" si="75"/>
        <v>73.867764231367843</v>
      </c>
      <c r="P175" s="310">
        <f t="shared" ca="1" si="76"/>
        <v>13</v>
      </c>
      <c r="Q175" s="304">
        <f t="shared" ca="1" si="77"/>
        <v>0</v>
      </c>
      <c r="R175" s="306">
        <f t="shared" ca="1" si="78"/>
        <v>0</v>
      </c>
      <c r="S175" s="307">
        <f t="shared" ca="1" si="79"/>
        <v>2.9792999999999985</v>
      </c>
      <c r="T175" s="304">
        <f t="shared" ca="1" si="59"/>
        <v>29.226932999999988</v>
      </c>
      <c r="U175" s="311">
        <f t="shared" ca="1" si="60"/>
        <v>0</v>
      </c>
      <c r="V175" s="306">
        <f t="shared" ca="1" si="61"/>
        <v>1.1268811997608708</v>
      </c>
      <c r="W175" s="304">
        <f t="shared" ca="1" si="62"/>
        <v>50.855707093920408</v>
      </c>
      <c r="Y175" s="314" t="str">
        <f t="shared" ca="1" si="80"/>
        <v/>
      </c>
      <c r="Z175" s="315" t="str">
        <f t="shared" ca="1" si="81"/>
        <v/>
      </c>
      <c r="AA175" s="316" t="str">
        <f t="shared" ca="1" si="82"/>
        <v/>
      </c>
      <c r="AC175" s="310" t="e">
        <f t="shared" ca="1" si="83"/>
        <v>#N/A</v>
      </c>
      <c r="AD175" s="323" t="e">
        <f t="shared" ca="1" si="84"/>
        <v>#N/A</v>
      </c>
      <c r="AE175" s="324">
        <f t="shared" ca="1" si="63"/>
        <v>834.38568452441996</v>
      </c>
      <c r="AG175" s="306">
        <f t="shared" ca="1" si="85"/>
        <v>-26.557471143982973</v>
      </c>
      <c r="AH175" s="304">
        <f t="shared" ca="1" si="86"/>
        <v>-17.133259720742089</v>
      </c>
    </row>
    <row r="176" spans="1:34" x14ac:dyDescent="0.2">
      <c r="A176" s="347">
        <f t="shared" ca="1" si="64"/>
        <v>0.01</v>
      </c>
      <c r="B176" s="304">
        <f t="shared" ca="1" si="65"/>
        <v>6.319999999999963</v>
      </c>
      <c r="D176" s="306">
        <f t="shared" ca="1" si="66"/>
        <v>-4.7428996060126192</v>
      </c>
      <c r="E176" s="307">
        <f t="shared" ca="1" si="67"/>
        <v>-26.207529909840666</v>
      </c>
      <c r="F176" s="304">
        <f t="shared" ca="1" si="68"/>
        <v>26.633244651148079</v>
      </c>
      <c r="G176" s="306">
        <f t="shared" ca="1" si="69"/>
        <v>41.201513463163451</v>
      </c>
      <c r="H176" s="307">
        <f t="shared" ca="1" si="70"/>
        <v>142.34705074416871</v>
      </c>
      <c r="I176" s="304">
        <f t="shared" ca="1" si="71"/>
        <v>148.18990372902664</v>
      </c>
      <c r="J176" s="306">
        <f t="shared" ca="1" si="72"/>
        <v>205.39395826849255</v>
      </c>
      <c r="K176" s="307">
        <f t="shared" ca="1" si="73"/>
        <v>835.81046540835712</v>
      </c>
      <c r="L176" s="304">
        <f t="shared" ca="1" si="58"/>
        <v>860.67753089024802</v>
      </c>
      <c r="M176" s="306">
        <f t="shared" ca="1" si="74"/>
        <v>1.2890517600231595</v>
      </c>
      <c r="N176" s="304">
        <f t="shared" ca="1" si="75"/>
        <v>73.857225423237651</v>
      </c>
      <c r="P176" s="310">
        <f t="shared" ca="1" si="76"/>
        <v>13</v>
      </c>
      <c r="Q176" s="304">
        <f t="shared" ca="1" si="77"/>
        <v>0</v>
      </c>
      <c r="R176" s="306">
        <f t="shared" ca="1" si="78"/>
        <v>0</v>
      </c>
      <c r="S176" s="307">
        <f t="shared" ca="1" si="79"/>
        <v>2.9792999999999985</v>
      </c>
      <c r="T176" s="304">
        <f t="shared" ca="1" si="59"/>
        <v>29.226932999999988</v>
      </c>
      <c r="U176" s="311">
        <f t="shared" ca="1" si="60"/>
        <v>0</v>
      </c>
      <c r="V176" s="306">
        <f t="shared" ca="1" si="61"/>
        <v>1.1267203749453314</v>
      </c>
      <c r="W176" s="304">
        <f t="shared" ca="1" si="62"/>
        <v>50.667123514937501</v>
      </c>
      <c r="Y176" s="314" t="str">
        <f t="shared" ca="1" si="80"/>
        <v/>
      </c>
      <c r="Z176" s="315" t="str">
        <f t="shared" ca="1" si="81"/>
        <v/>
      </c>
      <c r="AA176" s="316" t="str">
        <f t="shared" ca="1" si="82"/>
        <v/>
      </c>
      <c r="AC176" s="310" t="e">
        <f t="shared" ca="1" si="83"/>
        <v>#N/A</v>
      </c>
      <c r="AD176" s="323" t="e">
        <f t="shared" ca="1" si="84"/>
        <v>#N/A</v>
      </c>
      <c r="AE176" s="324">
        <f t="shared" ca="1" si="63"/>
        <v>835.81046540835712</v>
      </c>
      <c r="AG176" s="306">
        <f t="shared" ca="1" si="85"/>
        <v>-26.493394605007289</v>
      </c>
      <c r="AH176" s="304">
        <f t="shared" ca="1" si="86"/>
        <v>-17.069683178572294</v>
      </c>
    </row>
    <row r="177" spans="1:34" x14ac:dyDescent="0.2">
      <c r="A177" s="347">
        <f t="shared" ca="1" si="64"/>
        <v>0.01</v>
      </c>
      <c r="B177" s="304">
        <f t="shared" ca="1" si="65"/>
        <v>6.3299999999999628</v>
      </c>
      <c r="D177" s="306">
        <f t="shared" ca="1" si="66"/>
        <v>-4.7283167906212631</v>
      </c>
      <c r="E177" s="307">
        <f t="shared" ca="1" si="67"/>
        <v>-26.145855010055065</v>
      </c>
      <c r="F177" s="304">
        <f t="shared" ca="1" si="68"/>
        <v>26.569958861076405</v>
      </c>
      <c r="G177" s="306">
        <f t="shared" ca="1" si="69"/>
        <v>41.154230295257236</v>
      </c>
      <c r="H177" s="307">
        <f t="shared" ca="1" si="70"/>
        <v>142.08559219406817</v>
      </c>
      <c r="I177" s="304">
        <f t="shared" ca="1" si="71"/>
        <v>147.92561029224831</v>
      </c>
      <c r="J177" s="306">
        <f t="shared" ca="1" si="72"/>
        <v>205.80573698728466</v>
      </c>
      <c r="K177" s="307">
        <f t="shared" ca="1" si="73"/>
        <v>837.2326286230483</v>
      </c>
      <c r="L177" s="304">
        <f t="shared" ca="1" si="58"/>
        <v>862.15687424501721</v>
      </c>
      <c r="M177" s="306">
        <f t="shared" ca="1" si="74"/>
        <v>1.288867377313256</v>
      </c>
      <c r="N177" s="304">
        <f t="shared" ca="1" si="75"/>
        <v>73.846661072144997</v>
      </c>
      <c r="P177" s="310">
        <f t="shared" ca="1" si="76"/>
        <v>13</v>
      </c>
      <c r="Q177" s="304">
        <f t="shared" ca="1" si="77"/>
        <v>0</v>
      </c>
      <c r="R177" s="306">
        <f t="shared" ca="1" si="78"/>
        <v>0</v>
      </c>
      <c r="S177" s="307">
        <f t="shared" ca="1" si="79"/>
        <v>2.9792999999999985</v>
      </c>
      <c r="T177" s="304">
        <f t="shared" ca="1" si="59"/>
        <v>29.226932999999988</v>
      </c>
      <c r="U177" s="311">
        <f t="shared" ca="1" si="60"/>
        <v>0</v>
      </c>
      <c r="V177" s="306">
        <f t="shared" ca="1" si="61"/>
        <v>1.1265598675368815</v>
      </c>
      <c r="W177" s="304">
        <f t="shared" ca="1" si="62"/>
        <v>50.479365190875598</v>
      </c>
      <c r="Y177" s="314" t="str">
        <f t="shared" ca="1" si="80"/>
        <v/>
      </c>
      <c r="Z177" s="315" t="str">
        <f t="shared" ca="1" si="81"/>
        <v/>
      </c>
      <c r="AA177" s="316" t="str">
        <f t="shared" ca="1" si="82"/>
        <v/>
      </c>
      <c r="AC177" s="310" t="e">
        <f t="shared" ca="1" si="83"/>
        <v>#N/A</v>
      </c>
      <c r="AD177" s="323" t="e">
        <f t="shared" ca="1" si="84"/>
        <v>#N/A</v>
      </c>
      <c r="AE177" s="324">
        <f t="shared" ca="1" si="63"/>
        <v>837.2326286230483</v>
      </c>
      <c r="AG177" s="306">
        <f t="shared" ca="1" si="85"/>
        <v>-26.429595129062143</v>
      </c>
      <c r="AH177" s="304">
        <f t="shared" ca="1" si="86"/>
        <v>-17.006385229730984</v>
      </c>
    </row>
    <row r="178" spans="1:34" x14ac:dyDescent="0.2">
      <c r="A178" s="347">
        <f t="shared" ca="1" si="64"/>
        <v>0.01</v>
      </c>
      <c r="B178" s="304">
        <f t="shared" ca="1" si="65"/>
        <v>6.3399999999999626</v>
      </c>
      <c r="D178" s="306">
        <f t="shared" ca="1" si="66"/>
        <v>-4.7137957657240737</v>
      </c>
      <c r="E178" s="307">
        <f t="shared" ca="1" si="67"/>
        <v>-26.084449990915807</v>
      </c>
      <c r="F178" s="304">
        <f t="shared" ca="1" si="68"/>
        <v>26.506950066907848</v>
      </c>
      <c r="G178" s="306">
        <f t="shared" ca="1" si="69"/>
        <v>41.107092337599994</v>
      </c>
      <c r="H178" s="307">
        <f t="shared" ca="1" si="70"/>
        <v>141.82474769415902</v>
      </c>
      <c r="I178" s="304">
        <f t="shared" ca="1" si="71"/>
        <v>147.66195210332225</v>
      </c>
      <c r="J178" s="306">
        <f t="shared" ca="1" si="72"/>
        <v>206.21704360044896</v>
      </c>
      <c r="K178" s="307">
        <f t="shared" ca="1" si="73"/>
        <v>838.65218032248947</v>
      </c>
      <c r="L178" s="304">
        <f t="shared" ca="1" si="58"/>
        <v>863.63357312634321</v>
      </c>
      <c r="M178" s="306">
        <f t="shared" ca="1" si="74"/>
        <v>1.2886825477155976</v>
      </c>
      <c r="N178" s="304">
        <f t="shared" ca="1" si="75"/>
        <v>73.836071116270077</v>
      </c>
      <c r="P178" s="310">
        <f t="shared" ca="1" si="76"/>
        <v>13</v>
      </c>
      <c r="Q178" s="304">
        <f t="shared" ca="1" si="77"/>
        <v>0</v>
      </c>
      <c r="R178" s="306">
        <f t="shared" ca="1" si="78"/>
        <v>0</v>
      </c>
      <c r="S178" s="307">
        <f t="shared" ca="1" si="79"/>
        <v>2.9792999999999985</v>
      </c>
      <c r="T178" s="304">
        <f t="shared" ca="1" si="59"/>
        <v>29.226932999999988</v>
      </c>
      <c r="U178" s="311">
        <f t="shared" ca="1" si="60"/>
        <v>0</v>
      </c>
      <c r="V178" s="306">
        <f t="shared" ca="1" si="61"/>
        <v>1.1263996767156415</v>
      </c>
      <c r="W178" s="304">
        <f t="shared" ca="1" si="62"/>
        <v>50.292427398025808</v>
      </c>
      <c r="Y178" s="314" t="str">
        <f t="shared" ca="1" si="80"/>
        <v/>
      </c>
      <c r="Z178" s="315" t="str">
        <f t="shared" ca="1" si="81"/>
        <v/>
      </c>
      <c r="AA178" s="316" t="str">
        <f t="shared" ca="1" si="82"/>
        <v/>
      </c>
      <c r="AC178" s="310" t="e">
        <f t="shared" ca="1" si="83"/>
        <v>#N/A</v>
      </c>
      <c r="AD178" s="323" t="e">
        <f t="shared" ca="1" si="84"/>
        <v>#N/A</v>
      </c>
      <c r="AE178" s="324">
        <f t="shared" ca="1" si="63"/>
        <v>838.65218032248947</v>
      </c>
      <c r="AG178" s="306">
        <f t="shared" ca="1" si="85"/>
        <v>-26.366071113837599</v>
      </c>
      <c r="AH178" s="304">
        <f t="shared" ca="1" si="86"/>
        <v>-16.943364277137455</v>
      </c>
    </row>
    <row r="179" spans="1:34" x14ac:dyDescent="0.2">
      <c r="A179" s="347">
        <f t="shared" ca="1" si="64"/>
        <v>0.01</v>
      </c>
      <c r="B179" s="304">
        <f t="shared" ca="1" si="65"/>
        <v>6.3499999999999623</v>
      </c>
      <c r="D179" s="306">
        <f t="shared" ca="1" si="66"/>
        <v>-4.6993361741656638</v>
      </c>
      <c r="E179" s="307">
        <f t="shared" ca="1" si="67"/>
        <v>-26.023313307530131</v>
      </c>
      <c r="F179" s="304">
        <f t="shared" ca="1" si="68"/>
        <v>26.444216683042377</v>
      </c>
      <c r="G179" s="306">
        <f t="shared" ca="1" si="69"/>
        <v>41.060098975858338</v>
      </c>
      <c r="H179" s="307">
        <f t="shared" ca="1" si="70"/>
        <v>141.56451456108371</v>
      </c>
      <c r="I179" s="304">
        <f t="shared" ca="1" si="71"/>
        <v>147.39892642357529</v>
      </c>
      <c r="J179" s="306">
        <f t="shared" ca="1" si="72"/>
        <v>206.62787955701626</v>
      </c>
      <c r="K179" s="307">
        <f t="shared" ca="1" si="73"/>
        <v>840.06912663376568</v>
      </c>
      <c r="L179" s="304">
        <f t="shared" ca="1" si="58"/>
        <v>865.10763384300719</v>
      </c>
      <c r="M179" s="306">
        <f t="shared" ca="1" si="74"/>
        <v>1.2884972701471304</v>
      </c>
      <c r="N179" s="304">
        <f t="shared" ca="1" si="75"/>
        <v>73.825455493558451</v>
      </c>
      <c r="P179" s="310">
        <f t="shared" ca="1" si="76"/>
        <v>13</v>
      </c>
      <c r="Q179" s="304">
        <f t="shared" ca="1" si="77"/>
        <v>0</v>
      </c>
      <c r="R179" s="306">
        <f t="shared" ca="1" si="78"/>
        <v>0</v>
      </c>
      <c r="S179" s="307">
        <f t="shared" ca="1" si="79"/>
        <v>2.9792999999999985</v>
      </c>
      <c r="T179" s="304">
        <f t="shared" ca="1" si="59"/>
        <v>29.226932999999988</v>
      </c>
      <c r="U179" s="311">
        <f t="shared" ca="1" si="60"/>
        <v>0</v>
      </c>
      <c r="V179" s="306">
        <f t="shared" ca="1" si="61"/>
        <v>1.1262398016654191</v>
      </c>
      <c r="W179" s="304">
        <f t="shared" ca="1" si="62"/>
        <v>50.106305446853135</v>
      </c>
      <c r="Y179" s="314" t="str">
        <f t="shared" ca="1" si="80"/>
        <v/>
      </c>
      <c r="Z179" s="315" t="str">
        <f t="shared" ca="1" si="81"/>
        <v/>
      </c>
      <c r="AA179" s="316" t="str">
        <f t="shared" ca="1" si="82"/>
        <v/>
      </c>
      <c r="AC179" s="310" t="e">
        <f t="shared" ca="1" si="83"/>
        <v>#N/A</v>
      </c>
      <c r="AD179" s="323" t="e">
        <f t="shared" ca="1" si="84"/>
        <v>#N/A</v>
      </c>
      <c r="AE179" s="324">
        <f t="shared" ca="1" si="63"/>
        <v>840.06912663376568</v>
      </c>
      <c r="AG179" s="306">
        <f t="shared" ca="1" si="85"/>
        <v>-26.30282096857081</v>
      </c>
      <c r="AH179" s="304">
        <f t="shared" ca="1" si="86"/>
        <v>-16.880618735282056</v>
      </c>
    </row>
    <row r="180" spans="1:34" x14ac:dyDescent="0.2">
      <c r="A180" s="347">
        <f t="shared" ca="1" si="64"/>
        <v>0.01</v>
      </c>
      <c r="B180" s="304">
        <f t="shared" ca="1" si="65"/>
        <v>6.3599999999999621</v>
      </c>
      <c r="D180" s="306">
        <f t="shared" ca="1" si="66"/>
        <v>-4.6849376613712295</v>
      </c>
      <c r="E180" s="307">
        <f t="shared" ca="1" si="67"/>
        <v>-25.962443426181302</v>
      </c>
      <c r="F180" s="304">
        <f t="shared" ca="1" si="68"/>
        <v>26.38175713535016</v>
      </c>
      <c r="G180" s="306">
        <f t="shared" ca="1" si="69"/>
        <v>41.013249599244624</v>
      </c>
      <c r="H180" s="307">
        <f t="shared" ca="1" si="70"/>
        <v>141.3048901268219</v>
      </c>
      <c r="I180" s="304">
        <f t="shared" ca="1" si="71"/>
        <v>147.13653053012752</v>
      </c>
      <c r="J180" s="306">
        <f t="shared" ca="1" si="72"/>
        <v>207.03824629989177</v>
      </c>
      <c r="K180" s="307">
        <f t="shared" ca="1" si="73"/>
        <v>841.4834736572052</v>
      </c>
      <c r="L180" s="304">
        <f t="shared" ca="1" si="58"/>
        <v>866.57906267641329</v>
      </c>
      <c r="M180" s="306">
        <f t="shared" ca="1" si="74"/>
        <v>1.2883115435206893</v>
      </c>
      <c r="N180" s="304">
        <f t="shared" ca="1" si="75"/>
        <v>73.814814141720177</v>
      </c>
      <c r="P180" s="310">
        <f t="shared" ca="1" si="76"/>
        <v>13</v>
      </c>
      <c r="Q180" s="304">
        <f t="shared" ca="1" si="77"/>
        <v>0</v>
      </c>
      <c r="R180" s="306">
        <f t="shared" ca="1" si="78"/>
        <v>0</v>
      </c>
      <c r="S180" s="307">
        <f t="shared" ca="1" si="79"/>
        <v>2.9792999999999985</v>
      </c>
      <c r="T180" s="304">
        <f t="shared" ca="1" si="59"/>
        <v>29.226932999999988</v>
      </c>
      <c r="U180" s="311">
        <f t="shared" ca="1" si="60"/>
        <v>0</v>
      </c>
      <c r="V180" s="306">
        <f t="shared" ca="1" si="61"/>
        <v>1.1260802415736877</v>
      </c>
      <c r="W180" s="304">
        <f t="shared" ca="1" si="62"/>
        <v>49.920994681699575</v>
      </c>
      <c r="Y180" s="314" t="str">
        <f t="shared" ca="1" si="80"/>
        <v/>
      </c>
      <c r="Z180" s="315" t="str">
        <f t="shared" ca="1" si="81"/>
        <v/>
      </c>
      <c r="AA180" s="316" t="str">
        <f t="shared" ca="1" si="82"/>
        <v/>
      </c>
      <c r="AC180" s="310" t="e">
        <f t="shared" ca="1" si="83"/>
        <v>#N/A</v>
      </c>
      <c r="AD180" s="323" t="e">
        <f t="shared" ca="1" si="84"/>
        <v>#N/A</v>
      </c>
      <c r="AE180" s="324">
        <f t="shared" ca="1" si="63"/>
        <v>841.4834736572052</v>
      </c>
      <c r="AG180" s="306">
        <f t="shared" ca="1" si="85"/>
        <v>-26.239843113945312</v>
      </c>
      <c r="AH180" s="304">
        <f t="shared" ca="1" si="86"/>
        <v>-16.818147030125587</v>
      </c>
    </row>
    <row r="181" spans="1:34" x14ac:dyDescent="0.2">
      <c r="A181" s="347">
        <f t="shared" ca="1" si="64"/>
        <v>0.01</v>
      </c>
      <c r="B181" s="304">
        <f t="shared" ca="1" si="65"/>
        <v>6.3699999999999619</v>
      </c>
      <c r="D181" s="306">
        <f t="shared" ca="1" si="66"/>
        <v>-4.6705998753241085</v>
      </c>
      <c r="E181" s="307">
        <f t="shared" ca="1" si="67"/>
        <v>-25.90183882423149</v>
      </c>
      <c r="F181" s="304">
        <f t="shared" ca="1" si="68"/>
        <v>26.31956986107188</v>
      </c>
      <c r="G181" s="306">
        <f t="shared" ca="1" si="69"/>
        <v>40.966543600491384</v>
      </c>
      <c r="H181" s="307">
        <f t="shared" ca="1" si="70"/>
        <v>141.04587173857959</v>
      </c>
      <c r="I181" s="304">
        <f t="shared" ca="1" si="71"/>
        <v>146.87476171577882</v>
      </c>
      <c r="J181" s="306">
        <f t="shared" ca="1" si="72"/>
        <v>207.44814526589045</v>
      </c>
      <c r="K181" s="307">
        <f t="shared" ca="1" si="73"/>
        <v>842.89522746653222</v>
      </c>
      <c r="L181" s="304">
        <f t="shared" ca="1" si="58"/>
        <v>868.04786588074455</v>
      </c>
      <c r="M181" s="306">
        <f t="shared" ca="1" si="74"/>
        <v>1.2881253667449797</v>
      </c>
      <c r="N181" s="304">
        <f t="shared" ca="1" si="75"/>
        <v>73.80414699822866</v>
      </c>
      <c r="P181" s="310">
        <f t="shared" ca="1" si="76"/>
        <v>13</v>
      </c>
      <c r="Q181" s="304">
        <f t="shared" ca="1" si="77"/>
        <v>0</v>
      </c>
      <c r="R181" s="306">
        <f t="shared" ca="1" si="78"/>
        <v>0</v>
      </c>
      <c r="S181" s="307">
        <f t="shared" ca="1" si="79"/>
        <v>2.9792999999999985</v>
      </c>
      <c r="T181" s="304">
        <f t="shared" ca="1" si="59"/>
        <v>29.226932999999988</v>
      </c>
      <c r="U181" s="311">
        <f t="shared" ca="1" si="60"/>
        <v>0</v>
      </c>
      <c r="V181" s="306">
        <f t="shared" ca="1" si="61"/>
        <v>1.1259209956315646</v>
      </c>
      <c r="W181" s="304">
        <f t="shared" ca="1" si="62"/>
        <v>49.736490480490566</v>
      </c>
      <c r="Y181" s="314" t="str">
        <f t="shared" ca="1" si="80"/>
        <v/>
      </c>
      <c r="Z181" s="315" t="str">
        <f t="shared" ca="1" si="81"/>
        <v/>
      </c>
      <c r="AA181" s="316" t="str">
        <f t="shared" ca="1" si="82"/>
        <v/>
      </c>
      <c r="AC181" s="310" t="e">
        <f t="shared" ca="1" si="83"/>
        <v>#N/A</v>
      </c>
      <c r="AD181" s="323" t="e">
        <f t="shared" ca="1" si="84"/>
        <v>#N/A</v>
      </c>
      <c r="AE181" s="324">
        <f t="shared" ca="1" si="63"/>
        <v>842.89522746653222</v>
      </c>
      <c r="AG181" s="306">
        <f t="shared" ca="1" si="85"/>
        <v>-26.177135981991206</v>
      </c>
      <c r="AH181" s="304">
        <f t="shared" ca="1" si="86"/>
        <v>-16.755947598999629</v>
      </c>
    </row>
    <row r="182" spans="1:34" x14ac:dyDescent="0.2">
      <c r="A182" s="347">
        <f t="shared" ca="1" si="64"/>
        <v>0.01</v>
      </c>
      <c r="B182" s="304">
        <f t="shared" ca="1" si="65"/>
        <v>6.3799999999999617</v>
      </c>
      <c r="D182" s="306">
        <f t="shared" ca="1" si="66"/>
        <v>-4.6563224665436387</v>
      </c>
      <c r="E182" s="307">
        <f t="shared" ca="1" si="67"/>
        <v>-25.841497990025765</v>
      </c>
      <c r="F182" s="304">
        <f t="shared" ca="1" si="68"/>
        <v>26.257653308720197</v>
      </c>
      <c r="G182" s="306">
        <f t="shared" ca="1" si="69"/>
        <v>40.919980375825951</v>
      </c>
      <c r="H182" s="307">
        <f t="shared" ca="1" si="70"/>
        <v>140.78745675867933</v>
      </c>
      <c r="I182" s="304">
        <f t="shared" ca="1" si="71"/>
        <v>146.61361728889639</v>
      </c>
      <c r="J182" s="306">
        <f t="shared" ca="1" si="72"/>
        <v>207.85757788577203</v>
      </c>
      <c r="K182" s="307">
        <f t="shared" ca="1" si="73"/>
        <v>844.30439410901852</v>
      </c>
      <c r="L182" s="304">
        <f t="shared" ca="1" si="58"/>
        <v>869.51404968311851</v>
      </c>
      <c r="M182" s="306">
        <f t="shared" ca="1" si="74"/>
        <v>1.2879387387245613</v>
      </c>
      <c r="N182" s="304">
        <f t="shared" ca="1" si="75"/>
        <v>73.793454000319812</v>
      </c>
      <c r="P182" s="310">
        <f t="shared" ca="1" si="76"/>
        <v>13</v>
      </c>
      <c r="Q182" s="304">
        <f t="shared" ca="1" si="77"/>
        <v>0</v>
      </c>
      <c r="R182" s="306">
        <f t="shared" ca="1" si="78"/>
        <v>0</v>
      </c>
      <c r="S182" s="307">
        <f t="shared" ca="1" si="79"/>
        <v>2.9792999999999985</v>
      </c>
      <c r="T182" s="304">
        <f t="shared" ca="1" si="59"/>
        <v>29.226932999999988</v>
      </c>
      <c r="U182" s="311">
        <f t="shared" ca="1" si="60"/>
        <v>0</v>
      </c>
      <c r="V182" s="306">
        <f t="shared" ca="1" si="61"/>
        <v>1.1257620630337897</v>
      </c>
      <c r="W182" s="304">
        <f t="shared" ca="1" si="62"/>
        <v>49.552788254444089</v>
      </c>
      <c r="Y182" s="314" t="str">
        <f t="shared" ca="1" si="80"/>
        <v/>
      </c>
      <c r="Z182" s="315" t="str">
        <f t="shared" ca="1" si="81"/>
        <v/>
      </c>
      <c r="AA182" s="316" t="str">
        <f t="shared" ca="1" si="82"/>
        <v/>
      </c>
      <c r="AC182" s="310" t="e">
        <f t="shared" ca="1" si="83"/>
        <v>#N/A</v>
      </c>
      <c r="AD182" s="323" t="e">
        <f t="shared" ca="1" si="84"/>
        <v>#N/A</v>
      </c>
      <c r="AE182" s="324">
        <f t="shared" ca="1" si="63"/>
        <v>844.30439410901852</v>
      </c>
      <c r="AG182" s="306">
        <f t="shared" ca="1" si="85"/>
        <v>-26.114698015986534</v>
      </c>
      <c r="AH182" s="304">
        <f t="shared" ca="1" si="86"/>
        <v>-16.694018890508037</v>
      </c>
    </row>
    <row r="183" spans="1:34" x14ac:dyDescent="0.2">
      <c r="A183" s="347">
        <f t="shared" ca="1" si="64"/>
        <v>0.01</v>
      </c>
      <c r="B183" s="304">
        <f t="shared" ca="1" si="65"/>
        <v>6.3899999999999615</v>
      </c>
      <c r="D183" s="306">
        <f t="shared" ca="1" si="66"/>
        <v>-4.6421050880631594</v>
      </c>
      <c r="E183" s="307">
        <f t="shared" ca="1" si="67"/>
        <v>-25.781419422796965</v>
      </c>
      <c r="F183" s="304">
        <f t="shared" ca="1" si="68"/>
        <v>26.196005937982122</v>
      </c>
      <c r="G183" s="306">
        <f t="shared" ca="1" si="69"/>
        <v>40.873559324945319</v>
      </c>
      <c r="H183" s="307">
        <f t="shared" ca="1" si="70"/>
        <v>140.52964256445136</v>
      </c>
      <c r="I183" s="304">
        <f t="shared" ca="1" si="71"/>
        <v>146.35309457330339</v>
      </c>
      <c r="J183" s="306">
        <f t="shared" ca="1" si="72"/>
        <v>208.26654558427589</v>
      </c>
      <c r="K183" s="307">
        <f t="shared" ca="1" si="73"/>
        <v>845.71097960563418</v>
      </c>
      <c r="L183" s="304">
        <f t="shared" ca="1" si="58"/>
        <v>870.97762028374109</v>
      </c>
      <c r="M183" s="306">
        <f t="shared" ca="1" si="74"/>
        <v>1.287751658359831</v>
      </c>
      <c r="N183" s="304">
        <f t="shared" ca="1" si="75"/>
        <v>73.782735084990989</v>
      </c>
      <c r="P183" s="310">
        <f t="shared" ca="1" si="76"/>
        <v>13</v>
      </c>
      <c r="Q183" s="304">
        <f t="shared" ca="1" si="77"/>
        <v>0</v>
      </c>
      <c r="R183" s="306">
        <f t="shared" ca="1" si="78"/>
        <v>0</v>
      </c>
      <c r="S183" s="307">
        <f t="shared" ca="1" si="79"/>
        <v>2.9792999999999985</v>
      </c>
      <c r="T183" s="304">
        <f t="shared" ca="1" si="59"/>
        <v>29.226932999999988</v>
      </c>
      <c r="U183" s="311">
        <f t="shared" ca="1" si="60"/>
        <v>0</v>
      </c>
      <c r="V183" s="306">
        <f t="shared" ca="1" si="61"/>
        <v>1.125603442978705</v>
      </c>
      <c r="W183" s="304">
        <f t="shared" ca="1" si="62"/>
        <v>49.369883447782975</v>
      </c>
      <c r="Y183" s="314" t="str">
        <f t="shared" ca="1" si="80"/>
        <v/>
      </c>
      <c r="Z183" s="315" t="str">
        <f t="shared" ca="1" si="81"/>
        <v/>
      </c>
      <c r="AA183" s="316" t="str">
        <f t="shared" ca="1" si="82"/>
        <v/>
      </c>
      <c r="AC183" s="310" t="e">
        <f t="shared" ca="1" si="83"/>
        <v>#N/A</v>
      </c>
      <c r="AD183" s="323" t="e">
        <f t="shared" ca="1" si="84"/>
        <v>#N/A</v>
      </c>
      <c r="AE183" s="324">
        <f t="shared" ca="1" si="63"/>
        <v>845.71097960563418</v>
      </c>
      <c r="AG183" s="306">
        <f t="shared" ca="1" si="85"/>
        <v>-26.052527670359481</v>
      </c>
      <c r="AH183" s="304">
        <f t="shared" ca="1" si="86"/>
        <v>-16.632359364429266</v>
      </c>
    </row>
    <row r="184" spans="1:34" x14ac:dyDescent="0.2">
      <c r="A184" s="347">
        <f t="shared" ca="1" si="64"/>
        <v>0.01</v>
      </c>
      <c r="B184" s="304">
        <f t="shared" ca="1" si="65"/>
        <v>6.3999999999999613</v>
      </c>
      <c r="D184" s="306">
        <f t="shared" ca="1" si="66"/>
        <v>-4.6279473954082997</v>
      </c>
      <c r="E184" s="307">
        <f t="shared" ca="1" si="67"/>
        <v>-25.721601632571598</v>
      </c>
      <c r="F184" s="304">
        <f t="shared" ca="1" si="68"/>
        <v>26.134626219622433</v>
      </c>
      <c r="G184" s="306">
        <f t="shared" ca="1" si="69"/>
        <v>40.827279850991239</v>
      </c>
      <c r="H184" s="307">
        <f t="shared" ca="1" si="70"/>
        <v>140.27242654812565</v>
      </c>
      <c r="I184" s="304">
        <f t="shared" ca="1" si="71"/>
        <v>146.09319090816814</v>
      </c>
      <c r="J184" s="306">
        <f t="shared" ca="1" si="72"/>
        <v>208.67504978015558</v>
      </c>
      <c r="K184" s="307">
        <f t="shared" ca="1" si="73"/>
        <v>847.11498995119712</v>
      </c>
      <c r="L184" s="304">
        <f t="shared" ca="1" si="58"/>
        <v>872.43858385605984</v>
      </c>
      <c r="M184" s="306">
        <f t="shared" ca="1" si="74"/>
        <v>1.287564124547004</v>
      </c>
      <c r="N184" s="304">
        <f t="shared" ca="1" si="75"/>
        <v>73.771990189000007</v>
      </c>
      <c r="P184" s="310">
        <f t="shared" ca="1" si="76"/>
        <v>13</v>
      </c>
      <c r="Q184" s="304">
        <f t="shared" ca="1" si="77"/>
        <v>0</v>
      </c>
      <c r="R184" s="306">
        <f t="shared" ca="1" si="78"/>
        <v>0</v>
      </c>
      <c r="S184" s="307">
        <f t="shared" ca="1" si="79"/>
        <v>2.9792999999999985</v>
      </c>
      <c r="T184" s="304">
        <f t="shared" ca="1" si="59"/>
        <v>29.226932999999988</v>
      </c>
      <c r="U184" s="311">
        <f t="shared" ca="1" si="60"/>
        <v>0</v>
      </c>
      <c r="V184" s="306">
        <f t="shared" ca="1" si="61"/>
        <v>1.1254451346682339</v>
      </c>
      <c r="W184" s="304">
        <f t="shared" ca="1" si="62"/>
        <v>49.18777153744994</v>
      </c>
      <c r="Y184" s="314" t="str">
        <f t="shared" ca="1" si="80"/>
        <v/>
      </c>
      <c r="Z184" s="315" t="str">
        <f t="shared" ca="1" si="81"/>
        <v/>
      </c>
      <c r="AA184" s="316" t="str">
        <f t="shared" ca="1" si="82"/>
        <v/>
      </c>
      <c r="AC184" s="310" t="e">
        <f t="shared" ca="1" si="83"/>
        <v>#N/A</v>
      </c>
      <c r="AD184" s="323" t="e">
        <f t="shared" ca="1" si="84"/>
        <v>#N/A</v>
      </c>
      <c r="AE184" s="324">
        <f t="shared" ca="1" si="63"/>
        <v>847.11498995119712</v>
      </c>
      <c r="AG184" s="306">
        <f t="shared" ca="1" si="85"/>
        <v>-25.99062341059172</v>
      </c>
      <c r="AH184" s="304">
        <f t="shared" ca="1" si="86"/>
        <v>-16.570967491619843</v>
      </c>
    </row>
    <row r="185" spans="1:34" x14ac:dyDescent="0.2">
      <c r="A185" s="347">
        <f t="shared" ca="1" si="64"/>
        <v>0.01</v>
      </c>
      <c r="B185" s="304">
        <f t="shared" ca="1" si="65"/>
        <v>6.4099999999999611</v>
      </c>
      <c r="D185" s="306">
        <f t="shared" ca="1" si="66"/>
        <v>-4.6138490465754609</v>
      </c>
      <c r="E185" s="307">
        <f t="shared" ca="1" si="67"/>
        <v>-25.662043140076669</v>
      </c>
      <c r="F185" s="304">
        <f t="shared" ca="1" si="68"/>
        <v>26.07351263538807</v>
      </c>
      <c r="G185" s="306">
        <f t="shared" ca="1" si="69"/>
        <v>40.781141360525481</v>
      </c>
      <c r="H185" s="307">
        <f t="shared" ca="1" si="70"/>
        <v>140.01580611672489</v>
      </c>
      <c r="I185" s="304">
        <f t="shared" ca="1" si="71"/>
        <v>145.83390364789477</v>
      </c>
      <c r="J185" s="306">
        <f t="shared" ca="1" si="72"/>
        <v>209.08309188621317</v>
      </c>
      <c r="K185" s="307">
        <f t="shared" ca="1" si="73"/>
        <v>848.51643111452142</v>
      </c>
      <c r="L185" s="304">
        <f t="shared" ca="1" si="58"/>
        <v>873.89694654691573</v>
      </c>
      <c r="M185" s="306">
        <f t="shared" ca="1" si="74"/>
        <v>1.2873761361780978</v>
      </c>
      <c r="N185" s="304">
        <f t="shared" ca="1" si="75"/>
        <v>73.761219248864137</v>
      </c>
      <c r="P185" s="310">
        <f t="shared" ca="1" si="76"/>
        <v>13</v>
      </c>
      <c r="Q185" s="304">
        <f t="shared" ca="1" si="77"/>
        <v>0</v>
      </c>
      <c r="R185" s="306">
        <f t="shared" ca="1" si="78"/>
        <v>0</v>
      </c>
      <c r="S185" s="307">
        <f t="shared" ca="1" si="79"/>
        <v>2.9792999999999985</v>
      </c>
      <c r="T185" s="304">
        <f t="shared" ca="1" si="59"/>
        <v>29.226932999999988</v>
      </c>
      <c r="U185" s="311">
        <f t="shared" ca="1" si="60"/>
        <v>0</v>
      </c>
      <c r="V185" s="306">
        <f t="shared" ca="1" si="61"/>
        <v>1.1252871373078588</v>
      </c>
      <c r="W185" s="304">
        <f t="shared" ca="1" si="62"/>
        <v>49.006448032825503</v>
      </c>
      <c r="Y185" s="314" t="str">
        <f t="shared" ca="1" si="80"/>
        <v/>
      </c>
      <c r="Z185" s="315" t="str">
        <f t="shared" ca="1" si="81"/>
        <v/>
      </c>
      <c r="AA185" s="316" t="str">
        <f t="shared" ca="1" si="82"/>
        <v/>
      </c>
      <c r="AC185" s="310" t="e">
        <f t="shared" ca="1" si="83"/>
        <v>#N/A</v>
      </c>
      <c r="AD185" s="323" t="e">
        <f t="shared" ca="1" si="84"/>
        <v>#N/A</v>
      </c>
      <c r="AE185" s="324">
        <f t="shared" ca="1" si="63"/>
        <v>848.51643111452142</v>
      </c>
      <c r="AG185" s="306">
        <f t="shared" ca="1" si="85"/>
        <v>-25.928983713122598</v>
      </c>
      <c r="AH185" s="304">
        <f t="shared" ca="1" si="86"/>
        <v>-16.509841753918693</v>
      </c>
    </row>
    <row r="186" spans="1:34" x14ac:dyDescent="0.2">
      <c r="A186" s="347">
        <f t="shared" ca="1" si="64"/>
        <v>0.01</v>
      </c>
      <c r="B186" s="304">
        <f t="shared" ca="1" si="65"/>
        <v>6.4199999999999608</v>
      </c>
      <c r="D186" s="306">
        <f t="shared" ca="1" si="66"/>
        <v>-4.5998097020105035</v>
      </c>
      <c r="E186" s="307">
        <f t="shared" ca="1" si="67"/>
        <v>-25.602742476647396</v>
      </c>
      <c r="F186" s="304">
        <f t="shared" ca="1" si="68"/>
        <v>26.012663677913395</v>
      </c>
      <c r="G186" s="306">
        <f t="shared" ca="1" si="69"/>
        <v>40.735143263505378</v>
      </c>
      <c r="H186" s="307">
        <f t="shared" ca="1" si="70"/>
        <v>139.75977869195842</v>
      </c>
      <c r="I186" s="304">
        <f t="shared" ca="1" si="71"/>
        <v>145.57523016201452</v>
      </c>
      <c r="J186" s="306">
        <f t="shared" ca="1" si="72"/>
        <v>209.49067330933332</v>
      </c>
      <c r="K186" s="307">
        <f t="shared" ca="1" si="73"/>
        <v>849.91530903856483</v>
      </c>
      <c r="L186" s="304">
        <f t="shared" ca="1" si="58"/>
        <v>875.35271447669413</v>
      </c>
      <c r="M186" s="306">
        <f t="shared" ca="1" si="74"/>
        <v>1.287187692140914</v>
      </c>
      <c r="N186" s="304">
        <f t="shared" ca="1" si="75"/>
        <v>73.750422200859092</v>
      </c>
      <c r="P186" s="310">
        <f t="shared" ca="1" si="76"/>
        <v>13</v>
      </c>
      <c r="Q186" s="304">
        <f t="shared" ca="1" si="77"/>
        <v>0</v>
      </c>
      <c r="R186" s="306">
        <f t="shared" ca="1" si="78"/>
        <v>0</v>
      </c>
      <c r="S186" s="307">
        <f t="shared" ca="1" si="79"/>
        <v>2.9792999999999985</v>
      </c>
      <c r="T186" s="304">
        <f t="shared" ca="1" si="59"/>
        <v>29.226932999999988</v>
      </c>
      <c r="U186" s="311">
        <f t="shared" ca="1" si="60"/>
        <v>0</v>
      </c>
      <c r="V186" s="306">
        <f t="shared" ca="1" si="61"/>
        <v>1.1251294501066007</v>
      </c>
      <c r="W186" s="304">
        <f t="shared" ca="1" si="62"/>
        <v>48.825908475448884</v>
      </c>
      <c r="Y186" s="314" t="str">
        <f t="shared" ca="1" si="80"/>
        <v/>
      </c>
      <c r="Z186" s="315" t="str">
        <f t="shared" ca="1" si="81"/>
        <v/>
      </c>
      <c r="AA186" s="316" t="str">
        <f t="shared" ca="1" si="82"/>
        <v/>
      </c>
      <c r="AC186" s="310" t="e">
        <f t="shared" ca="1" si="83"/>
        <v>#N/A</v>
      </c>
      <c r="AD186" s="323" t="e">
        <f t="shared" ca="1" si="84"/>
        <v>#N/A</v>
      </c>
      <c r="AE186" s="324">
        <f t="shared" ca="1" si="63"/>
        <v>849.91530903856483</v>
      </c>
      <c r="AG186" s="306">
        <f t="shared" ca="1" si="85"/>
        <v>-25.867607065254354</v>
      </c>
      <c r="AH186" s="304">
        <f t="shared" ca="1" si="86"/>
        <v>-16.448980644052472</v>
      </c>
    </row>
    <row r="187" spans="1:34" x14ac:dyDescent="0.2">
      <c r="A187" s="347">
        <f t="shared" ca="1" si="64"/>
        <v>0.01</v>
      </c>
      <c r="B187" s="304">
        <f t="shared" ca="1" si="65"/>
        <v>6.4299999999999606</v>
      </c>
      <c r="D187" s="306">
        <f t="shared" ca="1" si="66"/>
        <v>-4.5858290245876692</v>
      </c>
      <c r="E187" s="307">
        <f t="shared" ca="1" si="67"/>
        <v>-25.543698184135945</v>
      </c>
      <c r="F187" s="304">
        <f t="shared" ca="1" si="68"/>
        <v>25.952077850626541</v>
      </c>
      <c r="G187" s="306">
        <f t="shared" ca="1" si="69"/>
        <v>40.689284973259504</v>
      </c>
      <c r="H187" s="307">
        <f t="shared" ca="1" si="70"/>
        <v>139.50434171011705</v>
      </c>
      <c r="I187" s="304">
        <f t="shared" ca="1" si="71"/>
        <v>145.31716783507801</v>
      </c>
      <c r="J187" s="306">
        <f t="shared" ca="1" si="72"/>
        <v>209.89779545051715</v>
      </c>
      <c r="K187" s="307">
        <f t="shared" ca="1" si="73"/>
        <v>851.31162964057523</v>
      </c>
      <c r="L187" s="304">
        <f t="shared" ca="1" si="58"/>
        <v>876.80589373947475</v>
      </c>
      <c r="M187" s="306">
        <f t="shared" ca="1" si="74"/>
        <v>1.2869987913190206</v>
      </c>
      <c r="N187" s="304">
        <f t="shared" ca="1" si="75"/>
        <v>73.739598981018048</v>
      </c>
      <c r="P187" s="310">
        <f t="shared" ca="1" si="76"/>
        <v>13</v>
      </c>
      <c r="Q187" s="304">
        <f t="shared" ca="1" si="77"/>
        <v>0</v>
      </c>
      <c r="R187" s="306">
        <f t="shared" ca="1" si="78"/>
        <v>0</v>
      </c>
      <c r="S187" s="307">
        <f t="shared" ca="1" si="79"/>
        <v>2.9792999999999985</v>
      </c>
      <c r="T187" s="304">
        <f t="shared" ca="1" si="59"/>
        <v>29.226932999999988</v>
      </c>
      <c r="U187" s="311">
        <f t="shared" ca="1" si="60"/>
        <v>0</v>
      </c>
      <c r="V187" s="306">
        <f t="shared" ca="1" si="61"/>
        <v>1.1249720722770014</v>
      </c>
      <c r="W187" s="304">
        <f t="shared" ca="1" si="62"/>
        <v>48.646148438741612</v>
      </c>
      <c r="Y187" s="314" t="str">
        <f t="shared" ca="1" si="80"/>
        <v/>
      </c>
      <c r="Z187" s="315" t="str">
        <f t="shared" ca="1" si="81"/>
        <v/>
      </c>
      <c r="AA187" s="316" t="str">
        <f t="shared" ca="1" si="82"/>
        <v/>
      </c>
      <c r="AC187" s="310" t="e">
        <f t="shared" ca="1" si="83"/>
        <v>#N/A</v>
      </c>
      <c r="AD187" s="323" t="e">
        <f t="shared" ca="1" si="84"/>
        <v>#N/A</v>
      </c>
      <c r="AE187" s="324">
        <f t="shared" ca="1" si="63"/>
        <v>851.31162964057523</v>
      </c>
      <c r="AG187" s="306">
        <f t="shared" ca="1" si="85"/>
        <v>-25.806491965058296</v>
      </c>
      <c r="AH187" s="304">
        <f t="shared" ca="1" si="86"/>
        <v>-16.388382665541876</v>
      </c>
    </row>
    <row r="188" spans="1:34" x14ac:dyDescent="0.2">
      <c r="A188" s="347">
        <f t="shared" ca="1" si="64"/>
        <v>0.01</v>
      </c>
      <c r="B188" s="304">
        <f t="shared" ca="1" si="65"/>
        <v>6.4399999999999604</v>
      </c>
      <c r="D188" s="306">
        <f t="shared" ca="1" si="66"/>
        <v>-4.5719066795887153</v>
      </c>
      <c r="E188" s="307">
        <f t="shared" ca="1" si="67"/>
        <v>-25.484908814821043</v>
      </c>
      <c r="F188" s="304">
        <f t="shared" ca="1" si="68"/>
        <v>25.891753667656644</v>
      </c>
      <c r="G188" s="306">
        <f t="shared" ca="1" si="69"/>
        <v>40.643565906463614</v>
      </c>
      <c r="H188" s="307">
        <f t="shared" ca="1" si="70"/>
        <v>139.24949262196884</v>
      </c>
      <c r="I188" s="304">
        <f t="shared" ca="1" si="71"/>
        <v>145.05971406654851</v>
      </c>
      <c r="J188" s="306">
        <f t="shared" ca="1" si="72"/>
        <v>210.30445970491576</v>
      </c>
      <c r="K188" s="307">
        <f t="shared" ca="1" si="73"/>
        <v>852.70539881223567</v>
      </c>
      <c r="L188" s="304">
        <f t="shared" ca="1" si="58"/>
        <v>878.25649040317967</v>
      </c>
      <c r="M188" s="306">
        <f t="shared" ca="1" si="74"/>
        <v>1.2868094325917343</v>
      </c>
      <c r="N188" s="304">
        <f t="shared" ca="1" si="75"/>
        <v>73.728749525130581</v>
      </c>
      <c r="P188" s="310">
        <f t="shared" ca="1" si="76"/>
        <v>13</v>
      </c>
      <c r="Q188" s="304">
        <f t="shared" ca="1" si="77"/>
        <v>0</v>
      </c>
      <c r="R188" s="306">
        <f t="shared" ca="1" si="78"/>
        <v>0</v>
      </c>
      <c r="S188" s="307">
        <f t="shared" ca="1" si="79"/>
        <v>2.9792999999999985</v>
      </c>
      <c r="T188" s="304">
        <f t="shared" ca="1" si="59"/>
        <v>29.226932999999988</v>
      </c>
      <c r="U188" s="311">
        <f t="shared" ca="1" si="60"/>
        <v>0</v>
      </c>
      <c r="V188" s="306">
        <f t="shared" ca="1" si="61"/>
        <v>1.1248150030350992</v>
      </c>
      <c r="W188" s="304">
        <f t="shared" ca="1" si="62"/>
        <v>48.467163527733796</v>
      </c>
      <c r="Y188" s="314" t="str">
        <f t="shared" ca="1" si="80"/>
        <v/>
      </c>
      <c r="Z188" s="315" t="str">
        <f t="shared" ca="1" si="81"/>
        <v/>
      </c>
      <c r="AA188" s="316" t="str">
        <f t="shared" ca="1" si="82"/>
        <v/>
      </c>
      <c r="AC188" s="310" t="e">
        <f t="shared" ca="1" si="83"/>
        <v>#N/A</v>
      </c>
      <c r="AD188" s="323" t="e">
        <f t="shared" ca="1" si="84"/>
        <v>#N/A</v>
      </c>
      <c r="AE188" s="324">
        <f t="shared" ca="1" si="63"/>
        <v>852.70539881223567</v>
      </c>
      <c r="AG188" s="306">
        <f t="shared" ca="1" si="85"/>
        <v>-25.745636921281903</v>
      </c>
      <c r="AH188" s="304">
        <f t="shared" ca="1" si="86"/>
        <v>-16.328046332608881</v>
      </c>
    </row>
    <row r="189" spans="1:34" x14ac:dyDescent="0.2">
      <c r="A189" s="347">
        <f t="shared" ca="1" si="64"/>
        <v>0.01</v>
      </c>
      <c r="B189" s="304">
        <f t="shared" ca="1" si="65"/>
        <v>6.4499999999999602</v>
      </c>
      <c r="D189" s="306">
        <f t="shared" ca="1" si="66"/>
        <v>-4.5580423346822334</v>
      </c>
      <c r="E189" s="307">
        <f t="shared" ca="1" si="67"/>
        <v>-25.42637293131844</v>
      </c>
      <c r="F189" s="304">
        <f t="shared" ca="1" si="68"/>
        <v>25.831689653741943</v>
      </c>
      <c r="G189" s="306">
        <f t="shared" ca="1" si="69"/>
        <v>40.597985483116794</v>
      </c>
      <c r="H189" s="307">
        <f t="shared" ca="1" si="70"/>
        <v>138.99522889265566</v>
      </c>
      <c r="I189" s="304">
        <f t="shared" ca="1" si="71"/>
        <v>144.80286627069611</v>
      </c>
      <c r="J189" s="306">
        <f t="shared" ca="1" si="72"/>
        <v>210.71066746186366</v>
      </c>
      <c r="K189" s="307">
        <f t="shared" ca="1" si="73"/>
        <v>854.0966224198088</v>
      </c>
      <c r="L189" s="304">
        <f t="shared" ca="1" si="58"/>
        <v>879.7045105097219</v>
      </c>
      <c r="M189" s="306">
        <f t="shared" ca="1" si="74"/>
        <v>1.2866196148341023</v>
      </c>
      <c r="N189" s="304">
        <f t="shared" ca="1" si="75"/>
        <v>73.717873768741626</v>
      </c>
      <c r="P189" s="310">
        <f t="shared" ca="1" si="76"/>
        <v>13</v>
      </c>
      <c r="Q189" s="304">
        <f t="shared" ca="1" si="77"/>
        <v>0</v>
      </c>
      <c r="R189" s="306">
        <f t="shared" ca="1" si="78"/>
        <v>0</v>
      </c>
      <c r="S189" s="307">
        <f t="shared" ca="1" si="79"/>
        <v>2.9792999999999985</v>
      </c>
      <c r="T189" s="304">
        <f t="shared" ca="1" si="59"/>
        <v>29.226932999999988</v>
      </c>
      <c r="U189" s="311">
        <f t="shared" ca="1" si="60"/>
        <v>0</v>
      </c>
      <c r="V189" s="306">
        <f t="shared" ca="1" si="61"/>
        <v>1.1246582416004112</v>
      </c>
      <c r="W189" s="304">
        <f t="shared" ca="1" si="62"/>
        <v>48.288949378793383</v>
      </c>
      <c r="Y189" s="314" t="str">
        <f t="shared" ca="1" si="80"/>
        <v/>
      </c>
      <c r="Z189" s="315" t="str">
        <f t="shared" ca="1" si="81"/>
        <v/>
      </c>
      <c r="AA189" s="316" t="str">
        <f t="shared" ca="1" si="82"/>
        <v/>
      </c>
      <c r="AC189" s="310" t="e">
        <f t="shared" ca="1" si="83"/>
        <v>#N/A</v>
      </c>
      <c r="AD189" s="323" t="e">
        <f t="shared" ca="1" si="84"/>
        <v>#N/A</v>
      </c>
      <c r="AE189" s="324">
        <f t="shared" ca="1" si="63"/>
        <v>854.0966224198088</v>
      </c>
      <c r="AG189" s="306">
        <f t="shared" ca="1" si="85"/>
        <v>-25.685040453256811</v>
      </c>
      <c r="AH189" s="304">
        <f t="shared" ca="1" si="86"/>
        <v>-16.267970170084858</v>
      </c>
    </row>
    <row r="190" spans="1:34" x14ac:dyDescent="0.2">
      <c r="A190" s="347">
        <f t="shared" ca="1" si="64"/>
        <v>0.01</v>
      </c>
      <c r="B190" s="304">
        <f t="shared" ca="1" si="65"/>
        <v>6.45999999999996</v>
      </c>
      <c r="D190" s="306">
        <f t="shared" ca="1" si="66"/>
        <v>-4.5442356599032143</v>
      </c>
      <c r="E190" s="307">
        <f t="shared" ca="1" si="67"/>
        <v>-25.368089106492384</v>
      </c>
      <c r="F190" s="304">
        <f t="shared" ca="1" si="68"/>
        <v>25.771884344138936</v>
      </c>
      <c r="G190" s="306">
        <f t="shared" ca="1" si="69"/>
        <v>40.552543126517762</v>
      </c>
      <c r="H190" s="307">
        <f t="shared" ca="1" si="70"/>
        <v>138.74154800159073</v>
      </c>
      <c r="I190" s="304">
        <f t="shared" ca="1" si="71"/>
        <v>144.54662187649279</v>
      </c>
      <c r="J190" s="306">
        <f t="shared" ca="1" si="72"/>
        <v>211.11642010491184</v>
      </c>
      <c r="K190" s="307">
        <f t="shared" ca="1" si="73"/>
        <v>855.48530630428002</v>
      </c>
      <c r="L190" s="304">
        <f t="shared" ca="1" si="58"/>
        <v>881.14996007515174</v>
      </c>
      <c r="M190" s="306">
        <f t="shared" ca="1" si="74"/>
        <v>1.2864293369168849</v>
      </c>
      <c r="N190" s="304">
        <f t="shared" ca="1" si="75"/>
        <v>73.706971647150525</v>
      </c>
      <c r="P190" s="310">
        <f t="shared" ca="1" si="76"/>
        <v>13</v>
      </c>
      <c r="Q190" s="304">
        <f t="shared" ca="1" si="77"/>
        <v>0</v>
      </c>
      <c r="R190" s="306">
        <f t="shared" ca="1" si="78"/>
        <v>0</v>
      </c>
      <c r="S190" s="307">
        <f t="shared" ca="1" si="79"/>
        <v>2.9792999999999985</v>
      </c>
      <c r="T190" s="304">
        <f t="shared" ca="1" si="59"/>
        <v>29.226932999999988</v>
      </c>
      <c r="U190" s="311">
        <f t="shared" ca="1" si="60"/>
        <v>0</v>
      </c>
      <c r="V190" s="306">
        <f t="shared" ca="1" si="61"/>
        <v>1.1245017871959126</v>
      </c>
      <c r="W190" s="304">
        <f t="shared" ca="1" si="62"/>
        <v>48.111501659357977</v>
      </c>
      <c r="Y190" s="314" t="str">
        <f t="shared" ca="1" si="80"/>
        <v/>
      </c>
      <c r="Z190" s="315" t="str">
        <f t="shared" ca="1" si="81"/>
        <v/>
      </c>
      <c r="AA190" s="316" t="str">
        <f t="shared" ca="1" si="82"/>
        <v/>
      </c>
      <c r="AC190" s="310" t="e">
        <f t="shared" ca="1" si="83"/>
        <v>#N/A</v>
      </c>
      <c r="AD190" s="323" t="e">
        <f t="shared" ca="1" si="84"/>
        <v>#N/A</v>
      </c>
      <c r="AE190" s="324">
        <f t="shared" ca="1" si="63"/>
        <v>855.48530630428002</v>
      </c>
      <c r="AG190" s="306">
        <f t="shared" ca="1" si="85"/>
        <v>-25.624701090807825</v>
      </c>
      <c r="AH190" s="304">
        <f t="shared" ca="1" si="86"/>
        <v>-16.208152713319709</v>
      </c>
    </row>
    <row r="191" spans="1:34" x14ac:dyDescent="0.2">
      <c r="A191" s="347">
        <f t="shared" ca="1" si="64"/>
        <v>0.01</v>
      </c>
      <c r="B191" s="304">
        <f t="shared" ca="1" si="65"/>
        <v>6.4699999999999598</v>
      </c>
      <c r="D191" s="306">
        <f t="shared" ca="1" si="66"/>
        <v>-4.5304863276327803</v>
      </c>
      <c r="E191" s="307">
        <f t="shared" ca="1" si="67"/>
        <v>-25.310055923367898</v>
      </c>
      <c r="F191" s="304">
        <f t="shared" ca="1" si="68"/>
        <v>25.712336284532334</v>
      </c>
      <c r="G191" s="306">
        <f t="shared" ca="1" si="69"/>
        <v>40.507238263241433</v>
      </c>
      <c r="H191" s="307">
        <f t="shared" ca="1" si="70"/>
        <v>138.48844744235706</v>
      </c>
      <c r="I191" s="304">
        <f t="shared" ca="1" si="71"/>
        <v>144.29097832750841</v>
      </c>
      <c r="J191" s="306">
        <f t="shared" ca="1" si="72"/>
        <v>211.52171901186063</v>
      </c>
      <c r="K191" s="307">
        <f t="shared" ca="1" si="73"/>
        <v>856.87145628149972</v>
      </c>
      <c r="L191" s="304">
        <f t="shared" ca="1" si="58"/>
        <v>882.5928450898017</v>
      </c>
      <c r="M191" s="306">
        <f t="shared" ca="1" si="74"/>
        <v>1.2862385977065374</v>
      </c>
      <c r="N191" s="304">
        <f t="shared" ca="1" si="75"/>
        <v>73.696043095409962</v>
      </c>
      <c r="P191" s="310">
        <f t="shared" ca="1" si="76"/>
        <v>13</v>
      </c>
      <c r="Q191" s="304">
        <f t="shared" ca="1" si="77"/>
        <v>0</v>
      </c>
      <c r="R191" s="306">
        <f t="shared" ca="1" si="78"/>
        <v>0</v>
      </c>
      <c r="S191" s="307">
        <f t="shared" ca="1" si="79"/>
        <v>2.9792999999999985</v>
      </c>
      <c r="T191" s="304">
        <f t="shared" ca="1" si="59"/>
        <v>29.226932999999988</v>
      </c>
      <c r="U191" s="311">
        <f t="shared" ca="1" si="60"/>
        <v>0</v>
      </c>
      <c r="V191" s="306">
        <f t="shared" ca="1" si="61"/>
        <v>1.1243456390480167</v>
      </c>
      <c r="W191" s="304">
        <f t="shared" ca="1" si="62"/>
        <v>47.934816067669338</v>
      </c>
      <c r="Y191" s="314" t="str">
        <f t="shared" ca="1" si="80"/>
        <v/>
      </c>
      <c r="Z191" s="315" t="str">
        <f t="shared" ca="1" si="81"/>
        <v/>
      </c>
      <c r="AA191" s="316" t="str">
        <f t="shared" ca="1" si="82"/>
        <v/>
      </c>
      <c r="AC191" s="310" t="e">
        <f t="shared" ca="1" si="83"/>
        <v>#N/A</v>
      </c>
      <c r="AD191" s="323" t="e">
        <f t="shared" ca="1" si="84"/>
        <v>#N/A</v>
      </c>
      <c r="AE191" s="324">
        <f t="shared" ca="1" si="63"/>
        <v>856.87145628149972</v>
      </c>
      <c r="AG191" s="306">
        <f t="shared" ca="1" si="85"/>
        <v>-25.564617374162744</v>
      </c>
      <c r="AH191" s="304">
        <f t="shared" ca="1" si="86"/>
        <v>-16.148592508091834</v>
      </c>
    </row>
    <row r="192" spans="1:34" x14ac:dyDescent="0.2">
      <c r="A192" s="347">
        <f t="shared" ca="1" si="64"/>
        <v>0.01</v>
      </c>
      <c r="B192" s="304">
        <f t="shared" ca="1" si="65"/>
        <v>6.4799999999999596</v>
      </c>
      <c r="D192" s="306">
        <f t="shared" ca="1" si="66"/>
        <v>-4.5167940125781385</v>
      </c>
      <c r="E192" s="307">
        <f t="shared" ca="1" si="67"/>
        <v>-25.252271975043939</v>
      </c>
      <c r="F192" s="304">
        <f t="shared" ca="1" si="68"/>
        <v>25.653044030945942</v>
      </c>
      <c r="G192" s="306">
        <f t="shared" ca="1" si="69"/>
        <v>40.462070323115654</v>
      </c>
      <c r="H192" s="307">
        <f t="shared" ca="1" si="70"/>
        <v>138.23592472260663</v>
      </c>
      <c r="I192" s="304">
        <f t="shared" ca="1" si="71"/>
        <v>144.03593308180749</v>
      </c>
      <c r="J192" s="306">
        <f t="shared" ca="1" si="72"/>
        <v>211.9265655547924</v>
      </c>
      <c r="K192" s="307">
        <f t="shared" ca="1" si="73"/>
        <v>858.25507814232458</v>
      </c>
      <c r="L192" s="304">
        <f t="shared" ca="1" si="58"/>
        <v>884.03317151843203</v>
      </c>
      <c r="M192" s="306">
        <f t="shared" ca="1" si="74"/>
        <v>1.2860473960651908</v>
      </c>
      <c r="N192" s="304">
        <f t="shared" ca="1" si="75"/>
        <v>73.685088048324829</v>
      </c>
      <c r="P192" s="310">
        <f t="shared" ca="1" si="76"/>
        <v>13</v>
      </c>
      <c r="Q192" s="304">
        <f t="shared" ca="1" si="77"/>
        <v>0</v>
      </c>
      <c r="R192" s="306">
        <f t="shared" ca="1" si="78"/>
        <v>0</v>
      </c>
      <c r="S192" s="307">
        <f t="shared" ca="1" si="79"/>
        <v>2.9792999999999985</v>
      </c>
      <c r="T192" s="304">
        <f t="shared" ca="1" si="59"/>
        <v>29.226932999999988</v>
      </c>
      <c r="U192" s="311">
        <f t="shared" ca="1" si="60"/>
        <v>0</v>
      </c>
      <c r="V192" s="306">
        <f t="shared" ca="1" si="61"/>
        <v>1.1241897963865555</v>
      </c>
      <c r="W192" s="304">
        <f t="shared" ca="1" si="62"/>
        <v>47.758888332510558</v>
      </c>
      <c r="Y192" s="314" t="str">
        <f t="shared" ca="1" si="80"/>
        <v/>
      </c>
      <c r="Z192" s="315" t="str">
        <f t="shared" ca="1" si="81"/>
        <v/>
      </c>
      <c r="AA192" s="316" t="str">
        <f t="shared" ca="1" si="82"/>
        <v/>
      </c>
      <c r="AC192" s="310" t="e">
        <f t="shared" ca="1" si="83"/>
        <v>#N/A</v>
      </c>
      <c r="AD192" s="323" t="e">
        <f t="shared" ca="1" si="84"/>
        <v>#N/A</v>
      </c>
      <c r="AE192" s="324">
        <f t="shared" ca="1" si="63"/>
        <v>858.25507814232458</v>
      </c>
      <c r="AG192" s="306">
        <f t="shared" ca="1" si="85"/>
        <v>-25.504787853863121</v>
      </c>
      <c r="AH192" s="304">
        <f t="shared" ca="1" si="86"/>
        <v>-16.089288110519036</v>
      </c>
    </row>
    <row r="193" spans="1:34" x14ac:dyDescent="0.2">
      <c r="A193" s="347">
        <f t="shared" ca="1" si="64"/>
        <v>0.01</v>
      </c>
      <c r="B193" s="304">
        <f t="shared" ca="1" si="65"/>
        <v>6.4899999999999594</v>
      </c>
      <c r="D193" s="306">
        <f t="shared" ca="1" si="66"/>
        <v>-4.5031583917527485</v>
      </c>
      <c r="E193" s="307">
        <f t="shared" ca="1" si="67"/>
        <v>-25.19473586460748</v>
      </c>
      <c r="F193" s="304">
        <f t="shared" ca="1" si="68"/>
        <v>25.594006149654486</v>
      </c>
      <c r="G193" s="306">
        <f t="shared" ca="1" si="69"/>
        <v>40.417038739198127</v>
      </c>
      <c r="H193" s="307">
        <f t="shared" ca="1" si="70"/>
        <v>137.98397736396055</v>
      </c>
      <c r="I193" s="304">
        <f t="shared" ca="1" si="71"/>
        <v>143.78148361184697</v>
      </c>
      <c r="J193" s="306">
        <f t="shared" ca="1" si="72"/>
        <v>212.33096110010396</v>
      </c>
      <c r="K193" s="307">
        <f t="shared" ca="1" si="73"/>
        <v>859.6361776527574</v>
      </c>
      <c r="L193" s="304">
        <f t="shared" ca="1" si="58"/>
        <v>885.4709453003735</v>
      </c>
      <c r="M193" s="306">
        <f t="shared" ca="1" si="74"/>
        <v>1.2858557308506351</v>
      </c>
      <c r="N193" s="304">
        <f t="shared" ca="1" si="75"/>
        <v>73.674106440451311</v>
      </c>
      <c r="P193" s="310">
        <f t="shared" ca="1" si="76"/>
        <v>13</v>
      </c>
      <c r="Q193" s="304">
        <f t="shared" ca="1" si="77"/>
        <v>0</v>
      </c>
      <c r="R193" s="306">
        <f t="shared" ca="1" si="78"/>
        <v>0</v>
      </c>
      <c r="S193" s="307">
        <f t="shared" ca="1" si="79"/>
        <v>2.9792999999999985</v>
      </c>
      <c r="T193" s="304">
        <f t="shared" ca="1" si="59"/>
        <v>29.226932999999988</v>
      </c>
      <c r="U193" s="311">
        <f t="shared" ca="1" si="60"/>
        <v>0</v>
      </c>
      <c r="V193" s="306">
        <f t="shared" ca="1" si="61"/>
        <v>1.1240342584447587</v>
      </c>
      <c r="W193" s="304">
        <f t="shared" ca="1" si="62"/>
        <v>47.583714212945814</v>
      </c>
      <c r="Y193" s="314" t="str">
        <f t="shared" ca="1" si="80"/>
        <v/>
      </c>
      <c r="Z193" s="315" t="str">
        <f t="shared" ca="1" si="81"/>
        <v/>
      </c>
      <c r="AA193" s="316" t="str">
        <f t="shared" ca="1" si="82"/>
        <v/>
      </c>
      <c r="AC193" s="310" t="e">
        <f t="shared" ca="1" si="83"/>
        <v>#N/A</v>
      </c>
      <c r="AD193" s="323" t="e">
        <f t="shared" ca="1" si="84"/>
        <v>#N/A</v>
      </c>
      <c r="AE193" s="324">
        <f t="shared" ca="1" si="63"/>
        <v>859.6361776527574</v>
      </c>
      <c r="AG193" s="306">
        <f t="shared" ca="1" si="85"/>
        <v>-25.44521109067594</v>
      </c>
      <c r="AH193" s="304">
        <f t="shared" ca="1" si="86"/>
        <v>-16.030238086970289</v>
      </c>
    </row>
    <row r="194" spans="1:34" x14ac:dyDescent="0.2">
      <c r="A194" s="347">
        <f t="shared" ca="1" si="64"/>
        <v>0.01</v>
      </c>
      <c r="B194" s="304">
        <f t="shared" ca="1" si="65"/>
        <v>6.4999999999999591</v>
      </c>
      <c r="D194" s="306">
        <f t="shared" ca="1" si="66"/>
        <v>-4.4895791444566422</v>
      </c>
      <c r="E194" s="307">
        <f t="shared" ca="1" si="67"/>
        <v>-25.137446205048356</v>
      </c>
      <c r="F194" s="304">
        <f t="shared" ca="1" si="68"/>
        <v>25.535221217096201</v>
      </c>
      <c r="G194" s="306">
        <f t="shared" ca="1" si="69"/>
        <v>40.372142947753559</v>
      </c>
      <c r="H194" s="307">
        <f t="shared" ca="1" si="70"/>
        <v>137.73260290191007</v>
      </c>
      <c r="I194" s="304">
        <f t="shared" ca="1" si="71"/>
        <v>143.52762740437498</v>
      </c>
      <c r="J194" s="306">
        <f t="shared" ca="1" si="72"/>
        <v>212.73490700853873</v>
      </c>
      <c r="K194" s="307">
        <f t="shared" ca="1" si="73"/>
        <v>861.01476055408671</v>
      </c>
      <c r="L194" s="304">
        <f t="shared" ca="1" si="58"/>
        <v>886.9061723496701</v>
      </c>
      <c r="M194" s="306">
        <f t="shared" ca="1" si="74"/>
        <v>1.2856636009163003</v>
      </c>
      <c r="N194" s="304">
        <f t="shared" ca="1" si="75"/>
        <v>73.66309820609581</v>
      </c>
      <c r="P194" s="310">
        <f t="shared" ca="1" si="76"/>
        <v>13</v>
      </c>
      <c r="Q194" s="304">
        <f t="shared" ca="1" si="77"/>
        <v>0</v>
      </c>
      <c r="R194" s="306">
        <f t="shared" ca="1" si="78"/>
        <v>0</v>
      </c>
      <c r="S194" s="307">
        <f t="shared" ca="1" si="79"/>
        <v>2.9792999999999985</v>
      </c>
      <c r="T194" s="304">
        <f t="shared" ca="1" si="59"/>
        <v>29.226932999999988</v>
      </c>
      <c r="U194" s="311">
        <f t="shared" ca="1" si="60"/>
        <v>0</v>
      </c>
      <c r="V194" s="306">
        <f t="shared" ca="1" si="61"/>
        <v>1.1238790244592356</v>
      </c>
      <c r="W194" s="304">
        <f t="shared" ca="1" si="62"/>
        <v>47.40928949806284</v>
      </c>
      <c r="Y194" s="314" t="str">
        <f t="shared" ca="1" si="80"/>
        <v/>
      </c>
      <c r="Z194" s="315" t="str">
        <f t="shared" ca="1" si="81"/>
        <v/>
      </c>
      <c r="AA194" s="316" t="str">
        <f t="shared" ca="1" si="82"/>
        <v/>
      </c>
      <c r="AC194" s="310" t="e">
        <f t="shared" ca="1" si="83"/>
        <v>#N/A</v>
      </c>
      <c r="AD194" s="323" t="e">
        <f t="shared" ca="1" si="84"/>
        <v>#N/A</v>
      </c>
      <c r="AE194" s="324">
        <f t="shared" ca="1" si="63"/>
        <v>861.01476055408671</v>
      </c>
      <c r="AG194" s="306">
        <f t="shared" ca="1" si="85"/>
        <v>-25.38588565550608</v>
      </c>
      <c r="AH194" s="304">
        <f t="shared" ca="1" si="86"/>
        <v>-15.971441013978398</v>
      </c>
    </row>
    <row r="195" spans="1:34" x14ac:dyDescent="0.2">
      <c r="A195" s="347">
        <f t="shared" ca="1" si="64"/>
        <v>0.01</v>
      </c>
      <c r="B195" s="304">
        <f t="shared" ca="1" si="65"/>
        <v>6.5099999999999589</v>
      </c>
      <c r="D195" s="306">
        <f t="shared" ca="1" si="66"/>
        <v>-4.4760559522569903</v>
      </c>
      <c r="E195" s="307">
        <f t="shared" ca="1" si="67"/>
        <v>-25.080401619175063</v>
      </c>
      <c r="F195" s="304">
        <f t="shared" ca="1" si="68"/>
        <v>25.476687819786434</v>
      </c>
      <c r="G195" s="306">
        <f t="shared" ca="1" si="69"/>
        <v>40.327382388230987</v>
      </c>
      <c r="H195" s="307">
        <f t="shared" ca="1" si="70"/>
        <v>137.48179888571832</v>
      </c>
      <c r="I195" s="304">
        <f t="shared" ca="1" si="71"/>
        <v>143.27436196033014</v>
      </c>
      <c r="J195" s="306">
        <f t="shared" ca="1" si="72"/>
        <v>213.13840463521865</v>
      </c>
      <c r="K195" s="307">
        <f t="shared" ca="1" si="73"/>
        <v>862.3908325630249</v>
      </c>
      <c r="L195" s="304">
        <f t="shared" ca="1" si="58"/>
        <v>888.33885855522124</v>
      </c>
      <c r="M195" s="306">
        <f t="shared" ca="1" si="74"/>
        <v>1.2854710051112375</v>
      </c>
      <c r="N195" s="304">
        <f t="shared" ca="1" si="75"/>
        <v>73.652063279313779</v>
      </c>
      <c r="P195" s="310">
        <f t="shared" ca="1" si="76"/>
        <v>13</v>
      </c>
      <c r="Q195" s="304">
        <f t="shared" ca="1" si="77"/>
        <v>0</v>
      </c>
      <c r="R195" s="306">
        <f t="shared" ca="1" si="78"/>
        <v>0</v>
      </c>
      <c r="S195" s="307">
        <f t="shared" ca="1" si="79"/>
        <v>2.9792999999999985</v>
      </c>
      <c r="T195" s="304">
        <f t="shared" ca="1" si="59"/>
        <v>29.226932999999988</v>
      </c>
      <c r="U195" s="311">
        <f t="shared" ca="1" si="60"/>
        <v>0</v>
      </c>
      <c r="V195" s="306">
        <f t="shared" ca="1" si="61"/>
        <v>1.1237240936699564</v>
      </c>
      <c r="W195" s="304">
        <f t="shared" ca="1" si="62"/>
        <v>47.235610006717856</v>
      </c>
      <c r="Y195" s="314" t="str">
        <f t="shared" ca="1" si="80"/>
        <v/>
      </c>
      <c r="Z195" s="315" t="str">
        <f t="shared" ca="1" si="81"/>
        <v/>
      </c>
      <c r="AA195" s="316" t="str">
        <f t="shared" ca="1" si="82"/>
        <v/>
      </c>
      <c r="AC195" s="310" t="e">
        <f t="shared" ca="1" si="83"/>
        <v>#N/A</v>
      </c>
      <c r="AD195" s="323" t="e">
        <f t="shared" ca="1" si="84"/>
        <v>#N/A</v>
      </c>
      <c r="AE195" s="324">
        <f t="shared" ca="1" si="63"/>
        <v>862.3908325630249</v>
      </c>
      <c r="AG195" s="306">
        <f t="shared" ca="1" si="85"/>
        <v>-25.326810129309777</v>
      </c>
      <c r="AH195" s="304">
        <f t="shared" ca="1" si="86"/>
        <v>-15.912895478153548</v>
      </c>
    </row>
    <row r="196" spans="1:34" x14ac:dyDescent="0.2">
      <c r="A196" s="347">
        <f t="shared" ca="1" si="64"/>
        <v>0.01</v>
      </c>
      <c r="B196" s="304">
        <f t="shared" ca="1" si="65"/>
        <v>6.5199999999999587</v>
      </c>
      <c r="D196" s="306">
        <f t="shared" ca="1" si="66"/>
        <v>-4.4625884989688398</v>
      </c>
      <c r="E196" s="307">
        <f t="shared" ca="1" si="67"/>
        <v>-25.023600739531332</v>
      </c>
      <c r="F196" s="304">
        <f t="shared" ca="1" si="68"/>
        <v>25.418404554231998</v>
      </c>
      <c r="G196" s="306">
        <f t="shared" ca="1" si="69"/>
        <v>40.282756503241302</v>
      </c>
      <c r="H196" s="307">
        <f t="shared" ca="1" si="70"/>
        <v>137.23156287832302</v>
      </c>
      <c r="I196" s="304">
        <f t="shared" ca="1" si="71"/>
        <v>143.02168479474207</v>
      </c>
      <c r="J196" s="306">
        <f t="shared" ca="1" si="72"/>
        <v>213.54145532967601</v>
      </c>
      <c r="K196" s="307">
        <f t="shared" ca="1" si="73"/>
        <v>863.76439937184512</v>
      </c>
      <c r="L196" s="304">
        <f t="shared" ref="L196:L259" ca="1" si="87">SQRT(pos_x^2+pos_z^2)</f>
        <v>889.76900978092078</v>
      </c>
      <c r="M196" s="306">
        <f t="shared" ca="1" si="74"/>
        <v>1.2852779422801011</v>
      </c>
      <c r="N196" s="304">
        <f t="shared" ca="1" si="75"/>
        <v>73.641001593908825</v>
      </c>
      <c r="P196" s="310">
        <f t="shared" ca="1" si="76"/>
        <v>13</v>
      </c>
      <c r="Q196" s="304">
        <f t="shared" ca="1" si="77"/>
        <v>0</v>
      </c>
      <c r="R196" s="306">
        <f t="shared" ca="1" si="78"/>
        <v>0</v>
      </c>
      <c r="S196" s="307">
        <f t="shared" ca="1" si="79"/>
        <v>2.9792999999999985</v>
      </c>
      <c r="T196" s="304">
        <f t="shared" ref="T196:T259" ca="1" si="88">m*g</f>
        <v>29.226932999999988</v>
      </c>
      <c r="U196" s="311">
        <f t="shared" ref="U196:U259" ca="1" si="89">IF(pos_xz&lt;L_rampe,Poids*COS(Beta),0)</f>
        <v>0</v>
      </c>
      <c r="V196" s="306">
        <f t="shared" ref="V196:V259" ca="1" si="90">Rho_moyen*(20000-Alt_rampe-pos_z)/(20000+Alt_rampe+pos_z)</f>
        <v>1.1235694653202308</v>
      </c>
      <c r="W196" s="304">
        <f t="shared" ref="W196:W259" ca="1" si="91">1/2*Rho*Sref*Cx*vit_xz^2</f>
        <v>47.062671587283027</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863.76439937184512</v>
      </c>
      <c r="AG196" s="306">
        <f t="shared" ca="1" si="85"/>
        <v>-25.267983103008852</v>
      </c>
      <c r="AH196" s="304">
        <f t="shared" ca="1" si="86"/>
        <v>-15.8546000760977</v>
      </c>
    </row>
    <row r="197" spans="1:34" x14ac:dyDescent="0.2">
      <c r="A197" s="347">
        <f t="shared" ref="A197:A260" ca="1" si="93">IF(B196+0.01&lt;=T_ini+ROUNDUP(Temps_fin_propu,0), 0.01, IF(K196&gt;0, 0.1, 0.0001))</f>
        <v>0.01</v>
      </c>
      <c r="B197" s="304">
        <f t="shared" ref="B197:B260" ca="1" si="94">B196+pas</f>
        <v>6.5299999999999585</v>
      </c>
      <c r="D197" s="306">
        <f t="shared" ref="D197:D260" ca="1" si="95">IF(AND(L196&lt;L_rampe,Poussee&lt;Poids*SIN(M196)),0,(-W196+Poussee)/m*COS(M196)-U196/m*SIN(M196))</f>
        <v>-4.449176470636039</v>
      </c>
      <c r="E197" s="307">
        <f t="shared" ref="E197:E260" ca="1" si="96">IF(AND(L196&lt;L_rampe,Poussee&lt;Poids*SIN(M196)),0,(-W196+Poussee)/m*SIN(M196)+U196/m*COS(M196)-Poids/m)</f>
        <v>-24.967042208313533</v>
      </c>
      <c r="F197" s="304">
        <f t="shared" ref="F197:F260" ca="1" si="97">SQRT(acc_x^2+acc_z^2)</f>
        <v>25.360370026846429</v>
      </c>
      <c r="G197" s="306">
        <f t="shared" ref="G197:G260" ca="1" si="98">G196+acc_x*pas</f>
        <v>40.238264738534944</v>
      </c>
      <c r="H197" s="307">
        <f t="shared" ref="H197:H260" ca="1" si="99">H196+acc_z*pas</f>
        <v>136.98189245623988</v>
      </c>
      <c r="I197" s="304">
        <f t="shared" ref="I197:I260" ca="1" si="100">SQRT(vit_x^2+vit_z^2)</f>
        <v>142.76959343663233</v>
      </c>
      <c r="J197" s="306">
        <f t="shared" ref="J197:J260" ca="1" si="101">J196+0.5*(vit_x+G196)*pas*(K196&gt;=0)</f>
        <v>213.94406043588489</v>
      </c>
      <c r="K197" s="307">
        <f t="shared" ref="K197:K260" ca="1" si="102">K196+0.5*(vit_z+H196)*pas</f>
        <v>865.13546664851788</v>
      </c>
      <c r="L197" s="304">
        <f t="shared" ca="1" si="87"/>
        <v>891.19663186579783</v>
      </c>
      <c r="M197" s="306">
        <f t="shared" ref="M197:M260" ca="1" si="103">IF(AND(L196&gt;L_rampe,G197&gt;0),ATAN2(G197,H197),$M$4)</f>
        <v>1.2850844112631297</v>
      </c>
      <c r="N197" s="304">
        <f t="shared" ref="N197:N260" ca="1" si="104">DEGREES(Beta)</f>
        <v>73.629913083431489</v>
      </c>
      <c r="P197" s="310">
        <f t="shared" ref="P197:P260" ca="1" si="105">MATCH(t-pas/2-T_ini,CdP_t)</f>
        <v>13</v>
      </c>
      <c r="Q197" s="304">
        <f t="shared" ref="Q197:Q260" ca="1" si="106">(INDEX(CdP,2,i_P+1)-INDEX(CdP,2,i_P+0))/(INDEX(CdP,1,i_P+1)-INDEX(CdP,1,i_P+0))*(t-pas/2-T_ini-INDEX(CdP,1,i_P+0))+INDEX(CdP,2,i_P+0)</f>
        <v>0</v>
      </c>
      <c r="R197" s="306">
        <f t="shared" ref="R197:R260" ca="1" si="107">Poussee/(g*ISP)</f>
        <v>0</v>
      </c>
      <c r="S197" s="307">
        <f t="shared" ref="S197:S260" ca="1" si="108">S196-Débit*pas</f>
        <v>2.9792999999999985</v>
      </c>
      <c r="T197" s="304">
        <f t="shared" ca="1" si="88"/>
        <v>29.226932999999988</v>
      </c>
      <c r="U197" s="311">
        <f t="shared" ca="1" si="89"/>
        <v>0</v>
      </c>
      <c r="V197" s="306">
        <f t="shared" ca="1" si="90"/>
        <v>1.1234151386566902</v>
      </c>
      <c r="W197" s="304">
        <f t="shared" ca="1" si="91"/>
        <v>46.890470117396312</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865.13546664851788</v>
      </c>
      <c r="AG197" s="306">
        <f t="shared" ref="AG197:AG260" ca="1" si="114">IF(AND(L196&lt;L_rampe,Poussee&lt;Poids*SIN(M196)),0,(-W196+Poussee)/m-Poids*SIN(M196)/m)</f>
        <v>-25.209403177405829</v>
      </c>
      <c r="AH197" s="304">
        <f t="shared" ref="AH197:AH260" ca="1" si="115">IF(AND(L196&lt;L_rampe,Poussee&lt;Poids*SIN(M196)), g*SIN(M196), (-W196+Poussee)/m)</f>
        <v>-15.796553414319824</v>
      </c>
    </row>
    <row r="198" spans="1:34" x14ac:dyDescent="0.2">
      <c r="A198" s="347">
        <f t="shared" ca="1" si="93"/>
        <v>0.01</v>
      </c>
      <c r="B198" s="304">
        <f t="shared" ca="1" si="94"/>
        <v>6.5399999999999583</v>
      </c>
      <c r="D198" s="306">
        <f t="shared" ca="1" si="95"/>
        <v>-4.4358195555123396</v>
      </c>
      <c r="E198" s="307">
        <f t="shared" ca="1" si="96"/>
        <v>-24.910724677288869</v>
      </c>
      <c r="F198" s="304">
        <f t="shared" ca="1" si="97"/>
        <v>25.30258285386601</v>
      </c>
      <c r="G198" s="306">
        <f t="shared" ca="1" si="98"/>
        <v>40.193906542979818</v>
      </c>
      <c r="H198" s="307">
        <f t="shared" ca="1" si="99"/>
        <v>136.73278520946698</v>
      </c>
      <c r="I198" s="304">
        <f t="shared" ca="1" si="100"/>
        <v>142.51808542891681</v>
      </c>
      <c r="J198" s="306">
        <f t="shared" ca="1" si="101"/>
        <v>214.34622129229246</v>
      </c>
      <c r="K198" s="307">
        <f t="shared" ca="1" si="102"/>
        <v>866.50404003684639</v>
      </c>
      <c r="L198" s="304">
        <f t="shared" ca="1" si="87"/>
        <v>892.62173062415479</v>
      </c>
      <c r="M198" s="306">
        <f t="shared" ca="1" si="103"/>
        <v>1.2848904108961274</v>
      </c>
      <c r="N198" s="304">
        <f t="shared" ca="1" si="104"/>
        <v>73.618797681178265</v>
      </c>
      <c r="P198" s="310">
        <f t="shared" ca="1" si="105"/>
        <v>13</v>
      </c>
      <c r="Q198" s="304">
        <f t="shared" ca="1" si="106"/>
        <v>0</v>
      </c>
      <c r="R198" s="306">
        <f t="shared" ca="1" si="107"/>
        <v>0</v>
      </c>
      <c r="S198" s="307">
        <f t="shared" ca="1" si="108"/>
        <v>2.9792999999999985</v>
      </c>
      <c r="T198" s="304">
        <f t="shared" ca="1" si="88"/>
        <v>29.226932999999988</v>
      </c>
      <c r="U198" s="311">
        <f t="shared" ca="1" si="89"/>
        <v>0</v>
      </c>
      <c r="V198" s="306">
        <f t="shared" ca="1" si="90"/>
        <v>1.1232611129292687</v>
      </c>
      <c r="W198" s="304">
        <f t="shared" ca="1" si="91"/>
        <v>46.719001503714182</v>
      </c>
      <c r="Y198" s="314" t="str">
        <f t="shared" ca="1" si="109"/>
        <v/>
      </c>
      <c r="Z198" s="315" t="str">
        <f t="shared" ca="1" si="110"/>
        <v/>
      </c>
      <c r="AA198" s="316" t="str">
        <f t="shared" ca="1" si="111"/>
        <v/>
      </c>
      <c r="AC198" s="310" t="e">
        <f t="shared" ca="1" si="112"/>
        <v>#N/A</v>
      </c>
      <c r="AD198" s="323" t="e">
        <f t="shared" ca="1" si="113"/>
        <v>#N/A</v>
      </c>
      <c r="AE198" s="324">
        <f t="shared" ca="1" si="92"/>
        <v>866.50404003684639</v>
      </c>
      <c r="AG198" s="306">
        <f t="shared" ca="1" si="114"/>
        <v>-25.151068963099799</v>
      </c>
      <c r="AH198" s="304">
        <f t="shared" ca="1" si="115"/>
        <v>-15.738754109151927</v>
      </c>
    </row>
    <row r="199" spans="1:34" x14ac:dyDescent="0.2">
      <c r="A199" s="347">
        <f t="shared" ca="1" si="93"/>
        <v>0.01</v>
      </c>
      <c r="B199" s="304">
        <f t="shared" ca="1" si="94"/>
        <v>6.5499999999999581</v>
      </c>
      <c r="D199" s="306">
        <f t="shared" ca="1" si="95"/>
        <v>-4.4225174440427377</v>
      </c>
      <c r="E199" s="307">
        <f t="shared" ca="1" si="96"/>
        <v>-24.854646807714502</v>
      </c>
      <c r="F199" s="304">
        <f t="shared" ca="1" si="97"/>
        <v>25.245041661266772</v>
      </c>
      <c r="G199" s="306">
        <f t="shared" ca="1" si="98"/>
        <v>40.14968136853939</v>
      </c>
      <c r="H199" s="307">
        <f t="shared" ca="1" si="99"/>
        <v>136.48423874138985</v>
      </c>
      <c r="I199" s="304">
        <f t="shared" ca="1" si="100"/>
        <v>142.26715832830828</v>
      </c>
      <c r="J199" s="306">
        <f t="shared" ca="1" si="101"/>
        <v>214.74793923185004</v>
      </c>
      <c r="K199" s="307">
        <f t="shared" ca="1" si="102"/>
        <v>867.87012515660069</v>
      </c>
      <c r="L199" s="304">
        <f t="shared" ca="1" si="87"/>
        <v>894.04431184570501</v>
      </c>
      <c r="M199" s="306">
        <f t="shared" ca="1" si="103"/>
        <v>1.2846959400104456</v>
      </c>
      <c r="N199" s="304">
        <f t="shared" ca="1" si="104"/>
        <v>73.607655320190531</v>
      </c>
      <c r="P199" s="310">
        <f t="shared" ca="1" si="105"/>
        <v>13</v>
      </c>
      <c r="Q199" s="304">
        <f t="shared" ca="1" si="106"/>
        <v>0</v>
      </c>
      <c r="R199" s="306">
        <f t="shared" ca="1" si="107"/>
        <v>0</v>
      </c>
      <c r="S199" s="307">
        <f t="shared" ca="1" si="108"/>
        <v>2.9792999999999985</v>
      </c>
      <c r="T199" s="304">
        <f t="shared" ca="1" si="88"/>
        <v>29.226932999999988</v>
      </c>
      <c r="U199" s="311">
        <f t="shared" ca="1" si="89"/>
        <v>0</v>
      </c>
      <c r="V199" s="306">
        <f t="shared" ca="1" si="90"/>
        <v>1.1231073873911837</v>
      </c>
      <c r="W199" s="304">
        <f t="shared" ca="1" si="91"/>
        <v>46.548261681666268</v>
      </c>
      <c r="Y199" s="314" t="str">
        <f t="shared" ca="1" si="109"/>
        <v/>
      </c>
      <c r="Z199" s="315" t="str">
        <f t="shared" ca="1" si="110"/>
        <v/>
      </c>
      <c r="AA199" s="316" t="str">
        <f t="shared" ca="1" si="111"/>
        <v/>
      </c>
      <c r="AC199" s="310" t="e">
        <f t="shared" ca="1" si="112"/>
        <v>#N/A</v>
      </c>
      <c r="AD199" s="323" t="e">
        <f t="shared" ca="1" si="113"/>
        <v>#N/A</v>
      </c>
      <c r="AE199" s="324">
        <f t="shared" ca="1" si="92"/>
        <v>867.87012515660069</v>
      </c>
      <c r="AG199" s="306">
        <f t="shared" ca="1" si="114"/>
        <v>-25.092979080403321</v>
      </c>
      <c r="AH199" s="304">
        <f t="shared" ca="1" si="115"/>
        <v>-15.681200786666064</v>
      </c>
    </row>
    <row r="200" spans="1:34" x14ac:dyDescent="0.2">
      <c r="A200" s="347">
        <f t="shared" ca="1" si="93"/>
        <v>0.01</v>
      </c>
      <c r="B200" s="304">
        <f t="shared" ca="1" si="94"/>
        <v>6.5599999999999579</v>
      </c>
      <c r="D200" s="306">
        <f t="shared" ca="1" si="95"/>
        <v>-4.4092698288449217</v>
      </c>
      <c r="E200" s="307">
        <f t="shared" ca="1" si="96"/>
        <v>-24.798807270257306</v>
      </c>
      <c r="F200" s="304">
        <f t="shared" ca="1" si="97"/>
        <v>25.187745084682128</v>
      </c>
      <c r="G200" s="306">
        <f t="shared" ca="1" si="98"/>
        <v>40.105588670250938</v>
      </c>
      <c r="H200" s="307">
        <f t="shared" ca="1" si="99"/>
        <v>136.23625066868726</v>
      </c>
      <c r="I200" s="304">
        <f t="shared" ca="1" si="100"/>
        <v>142.01680970522028</v>
      </c>
      <c r="J200" s="306">
        <f t="shared" ca="1" si="101"/>
        <v>215.14921558204398</v>
      </c>
      <c r="K200" s="307">
        <f t="shared" ca="1" si="102"/>
        <v>869.23372760365112</v>
      </c>
      <c r="L200" s="304">
        <f t="shared" ca="1" si="87"/>
        <v>895.46438129570913</v>
      </c>
      <c r="M200" s="306">
        <f t="shared" ca="1" si="103"/>
        <v>1.2845009974329624</v>
      </c>
      <c r="N200" s="304">
        <f t="shared" ca="1" si="104"/>
        <v>73.596485933253334</v>
      </c>
      <c r="P200" s="310">
        <f t="shared" ca="1" si="105"/>
        <v>13</v>
      </c>
      <c r="Q200" s="304">
        <f t="shared" ca="1" si="106"/>
        <v>0</v>
      </c>
      <c r="R200" s="306">
        <f t="shared" ca="1" si="107"/>
        <v>0</v>
      </c>
      <c r="S200" s="307">
        <f t="shared" ca="1" si="108"/>
        <v>2.9792999999999985</v>
      </c>
      <c r="T200" s="304">
        <f t="shared" ca="1" si="88"/>
        <v>29.226932999999988</v>
      </c>
      <c r="U200" s="311">
        <f t="shared" ca="1" si="89"/>
        <v>0</v>
      </c>
      <c r="V200" s="306">
        <f t="shared" ca="1" si="90"/>
        <v>1.122953961298919</v>
      </c>
      <c r="W200" s="304">
        <f t="shared" ca="1" si="91"/>
        <v>46.378246615212895</v>
      </c>
      <c r="Y200" s="314" t="str">
        <f t="shared" ca="1" si="109"/>
        <v/>
      </c>
      <c r="Z200" s="315" t="str">
        <f t="shared" ca="1" si="110"/>
        <v/>
      </c>
      <c r="AA200" s="316" t="str">
        <f t="shared" ca="1" si="111"/>
        <v/>
      </c>
      <c r="AC200" s="310" t="e">
        <f t="shared" ca="1" si="112"/>
        <v>#N/A</v>
      </c>
      <c r="AD200" s="323" t="e">
        <f t="shared" ca="1" si="113"/>
        <v>#N/A</v>
      </c>
      <c r="AE200" s="324">
        <f t="shared" ca="1" si="92"/>
        <v>869.23372760365112</v>
      </c>
      <c r="AG200" s="306">
        <f t="shared" ca="1" si="114"/>
        <v>-25.035132159259899</v>
      </c>
      <c r="AH200" s="304">
        <f t="shared" ca="1" si="115"/>
        <v>-15.623892082591983</v>
      </c>
    </row>
    <row r="201" spans="1:34" x14ac:dyDescent="0.2">
      <c r="A201" s="347">
        <f t="shared" ca="1" si="93"/>
        <v>0.01</v>
      </c>
      <c r="B201" s="304">
        <f t="shared" ca="1" si="94"/>
        <v>6.5699999999999577</v>
      </c>
      <c r="D201" s="306">
        <f t="shared" ca="1" si="95"/>
        <v>-4.3960764046909944</v>
      </c>
      <c r="E201" s="307">
        <f t="shared" ca="1" si="96"/>
        <v>-24.743204744914578</v>
      </c>
      <c r="F201" s="304">
        <f t="shared" ca="1" si="97"/>
        <v>25.130691769321515</v>
      </c>
      <c r="G201" s="306">
        <f t="shared" ca="1" si="98"/>
        <v>40.061627906204031</v>
      </c>
      <c r="H201" s="307">
        <f t="shared" ca="1" si="99"/>
        <v>135.98881862123812</v>
      </c>
      <c r="I201" s="304">
        <f t="shared" ca="1" si="100"/>
        <v>141.76703714367153</v>
      </c>
      <c r="J201" s="306">
        <f t="shared" ca="1" si="101"/>
        <v>215.55005166492626</v>
      </c>
      <c r="K201" s="307">
        <f t="shared" ca="1" si="102"/>
        <v>870.59485295010074</v>
      </c>
      <c r="L201" s="304">
        <f t="shared" ca="1" si="87"/>
        <v>896.88194471511122</v>
      </c>
      <c r="M201" s="306">
        <f t="shared" ca="1" si="103"/>
        <v>1.2843055819860658</v>
      </c>
      <c r="N201" s="304">
        <f t="shared" ca="1" si="104"/>
        <v>73.5852894528945</v>
      </c>
      <c r="P201" s="310">
        <f t="shared" ca="1" si="105"/>
        <v>13</v>
      </c>
      <c r="Q201" s="304">
        <f t="shared" ca="1" si="106"/>
        <v>0</v>
      </c>
      <c r="R201" s="306">
        <f t="shared" ca="1" si="107"/>
        <v>0</v>
      </c>
      <c r="S201" s="307">
        <f t="shared" ca="1" si="108"/>
        <v>2.9792999999999985</v>
      </c>
      <c r="T201" s="304">
        <f t="shared" ca="1" si="88"/>
        <v>29.226932999999988</v>
      </c>
      <c r="U201" s="311">
        <f t="shared" ca="1" si="89"/>
        <v>0</v>
      </c>
      <c r="V201" s="306">
        <f t="shared" ca="1" si="90"/>
        <v>1.1228008339122042</v>
      </c>
      <c r="W201" s="304">
        <f t="shared" ca="1" si="91"/>
        <v>46.208952296604629</v>
      </c>
      <c r="Y201" s="314" t="str">
        <f t="shared" ca="1" si="109"/>
        <v/>
      </c>
      <c r="Z201" s="315" t="str">
        <f t="shared" ca="1" si="110"/>
        <v/>
      </c>
      <c r="AA201" s="316" t="str">
        <f t="shared" ca="1" si="111"/>
        <v/>
      </c>
      <c r="AC201" s="310" t="e">
        <f t="shared" ca="1" si="112"/>
        <v>#N/A</v>
      </c>
      <c r="AD201" s="323" t="e">
        <f t="shared" ca="1" si="113"/>
        <v>#N/A</v>
      </c>
      <c r="AE201" s="324">
        <f t="shared" ca="1" si="92"/>
        <v>870.59485295010074</v>
      </c>
      <c r="AG201" s="306">
        <f t="shared" ca="1" si="114"/>
        <v>-24.977526839162458</v>
      </c>
      <c r="AH201" s="304">
        <f t="shared" ca="1" si="115"/>
        <v>-15.566826642235732</v>
      </c>
    </row>
    <row r="202" spans="1:34" x14ac:dyDescent="0.2">
      <c r="A202" s="347">
        <f t="shared" ca="1" si="93"/>
        <v>0.01</v>
      </c>
      <c r="B202" s="304">
        <f t="shared" ca="1" si="94"/>
        <v>6.5799999999999574</v>
      </c>
      <c r="D202" s="306">
        <f t="shared" ca="1" si="95"/>
        <v>-4.3829368684892804</v>
      </c>
      <c r="E202" s="307">
        <f t="shared" ca="1" si="96"/>
        <v>-24.687837920935394</v>
      </c>
      <c r="F202" s="304">
        <f t="shared" ca="1" si="97"/>
        <v>25.073880369889665</v>
      </c>
      <c r="G202" s="306">
        <f t="shared" ca="1" si="98"/>
        <v>40.017798537519141</v>
      </c>
      <c r="H202" s="307">
        <f t="shared" ca="1" si="99"/>
        <v>135.74194024202876</v>
      </c>
      <c r="I202" s="304">
        <f t="shared" ca="1" si="100"/>
        <v>141.51783824119127</v>
      </c>
      <c r="J202" s="306">
        <f t="shared" ca="1" si="101"/>
        <v>215.95044879714487</v>
      </c>
      <c r="K202" s="307">
        <f t="shared" ca="1" si="102"/>
        <v>871.95350674441704</v>
      </c>
      <c r="L202" s="304">
        <f t="shared" ca="1" si="87"/>
        <v>898.297007820673</v>
      </c>
      <c r="M202" s="306">
        <f t="shared" ca="1" si="103"/>
        <v>1.284109692487633</v>
      </c>
      <c r="N202" s="304">
        <f t="shared" ca="1" si="104"/>
        <v>73.574065811383363</v>
      </c>
      <c r="P202" s="310">
        <f t="shared" ca="1" si="105"/>
        <v>13</v>
      </c>
      <c r="Q202" s="304">
        <f t="shared" ca="1" si="106"/>
        <v>0</v>
      </c>
      <c r="R202" s="306">
        <f t="shared" ca="1" si="107"/>
        <v>0</v>
      </c>
      <c r="S202" s="307">
        <f t="shared" ca="1" si="108"/>
        <v>2.9792999999999985</v>
      </c>
      <c r="T202" s="304">
        <f t="shared" ca="1" si="88"/>
        <v>29.226932999999988</v>
      </c>
      <c r="U202" s="311">
        <f t="shared" ca="1" si="89"/>
        <v>0</v>
      </c>
      <c r="V202" s="306">
        <f t="shared" ca="1" si="90"/>
        <v>1.1226480044939966</v>
      </c>
      <c r="W202" s="304">
        <f t="shared" ca="1" si="91"/>
        <v>46.040374746144373</v>
      </c>
      <c r="Y202" s="314" t="str">
        <f t="shared" ca="1" si="109"/>
        <v/>
      </c>
      <c r="Z202" s="315" t="str">
        <f t="shared" ca="1" si="110"/>
        <v/>
      </c>
      <c r="AA202" s="316" t="str">
        <f t="shared" ca="1" si="111"/>
        <v/>
      </c>
      <c r="AC202" s="310" t="e">
        <f t="shared" ca="1" si="112"/>
        <v>#N/A</v>
      </c>
      <c r="AD202" s="323" t="e">
        <f t="shared" ca="1" si="113"/>
        <v>#N/A</v>
      </c>
      <c r="AE202" s="324">
        <f t="shared" ca="1" si="92"/>
        <v>871.95350674441704</v>
      </c>
      <c r="AG202" s="306">
        <f t="shared" ca="1" si="114"/>
        <v>-24.920161769072529</v>
      </c>
      <c r="AH202" s="304">
        <f t="shared" ca="1" si="115"/>
        <v>-15.51000312039897</v>
      </c>
    </row>
    <row r="203" spans="1:34" x14ac:dyDescent="0.2">
      <c r="A203" s="347">
        <f t="shared" ca="1" si="93"/>
        <v>0.01</v>
      </c>
      <c r="B203" s="304">
        <f t="shared" ca="1" si="94"/>
        <v>6.5899999999999572</v>
      </c>
      <c r="D203" s="306">
        <f t="shared" ca="1" si="95"/>
        <v>-4.3698509192663746</v>
      </c>
      <c r="E203" s="307">
        <f t="shared" ca="1" si="96"/>
        <v>-24.632705496742794</v>
      </c>
      <c r="F203" s="304">
        <f t="shared" ca="1" si="97"/>
        <v>25.017309550506742</v>
      </c>
      <c r="G203" s="306">
        <f t="shared" ca="1" si="98"/>
        <v>39.974100028326475</v>
      </c>
      <c r="H203" s="307">
        <f t="shared" ca="1" si="99"/>
        <v>135.49561318706134</v>
      </c>
      <c r="I203" s="304">
        <f t="shared" ca="1" si="100"/>
        <v>141.26921060872536</v>
      </c>
      <c r="J203" s="306">
        <f t="shared" ca="1" si="101"/>
        <v>216.3504082899741</v>
      </c>
      <c r="K203" s="307">
        <f t="shared" ca="1" si="102"/>
        <v>873.3096945115625</v>
      </c>
      <c r="L203" s="304">
        <f t="shared" ca="1" si="87"/>
        <v>899.70957630510804</v>
      </c>
      <c r="M203" s="306">
        <f t="shared" ca="1" si="103"/>
        <v>1.2839133277510113</v>
      </c>
      <c r="N203" s="304">
        <f t="shared" ca="1" si="104"/>
        <v>73.562814940729737</v>
      </c>
      <c r="P203" s="310">
        <f t="shared" ca="1" si="105"/>
        <v>13</v>
      </c>
      <c r="Q203" s="304">
        <f t="shared" ca="1" si="106"/>
        <v>0</v>
      </c>
      <c r="R203" s="306">
        <f t="shared" ca="1" si="107"/>
        <v>0</v>
      </c>
      <c r="S203" s="307">
        <f t="shared" ca="1" si="108"/>
        <v>2.9792999999999985</v>
      </c>
      <c r="T203" s="304">
        <f t="shared" ca="1" si="88"/>
        <v>29.226932999999988</v>
      </c>
      <c r="U203" s="311">
        <f t="shared" ca="1" si="89"/>
        <v>0</v>
      </c>
      <c r="V203" s="306">
        <f t="shared" ca="1" si="90"/>
        <v>1.1224954723104639</v>
      </c>
      <c r="W203" s="304">
        <f t="shared" ca="1" si="91"/>
        <v>45.87251001195186</v>
      </c>
      <c r="Y203" s="314" t="str">
        <f t="shared" ca="1" si="109"/>
        <v/>
      </c>
      <c r="Z203" s="315" t="str">
        <f t="shared" ca="1" si="110"/>
        <v/>
      </c>
      <c r="AA203" s="316" t="str">
        <f t="shared" ca="1" si="111"/>
        <v/>
      </c>
      <c r="AC203" s="310" t="e">
        <f t="shared" ca="1" si="112"/>
        <v>#N/A</v>
      </c>
      <c r="AD203" s="323" t="e">
        <f t="shared" ca="1" si="113"/>
        <v>#N/A</v>
      </c>
      <c r="AE203" s="324">
        <f t="shared" ca="1" si="92"/>
        <v>873.3096945115625</v>
      </c>
      <c r="AG203" s="306">
        <f t="shared" ca="1" si="114"/>
        <v>-24.863035607340194</v>
      </c>
      <c r="AH203" s="304">
        <f t="shared" ca="1" si="115"/>
        <v>-15.453420181299096</v>
      </c>
    </row>
    <row r="204" spans="1:34" x14ac:dyDescent="0.2">
      <c r="A204" s="347">
        <f t="shared" ca="1" si="93"/>
        <v>0.01</v>
      </c>
      <c r="B204" s="304">
        <f t="shared" ca="1" si="94"/>
        <v>6.599999999999957</v>
      </c>
      <c r="D204" s="306">
        <f t="shared" ca="1" si="95"/>
        <v>-4.3568182581493637</v>
      </c>
      <c r="E204" s="307">
        <f t="shared" ca="1" si="96"/>
        <v>-24.577806179856772</v>
      </c>
      <c r="F204" s="304">
        <f t="shared" ca="1" si="97"/>
        <v>24.960977984629316</v>
      </c>
      <c r="G204" s="306">
        <f t="shared" ca="1" si="98"/>
        <v>39.93053184574498</v>
      </c>
      <c r="H204" s="307">
        <f t="shared" ca="1" si="99"/>
        <v>135.24983512526276</v>
      </c>
      <c r="I204" s="304">
        <f t="shared" ca="1" si="100"/>
        <v>141.02115187054321</v>
      </c>
      <c r="J204" s="306">
        <f t="shared" ca="1" si="101"/>
        <v>216.74993144934444</v>
      </c>
      <c r="K204" s="307">
        <f t="shared" ca="1" si="102"/>
        <v>874.66342175312411</v>
      </c>
      <c r="L204" s="304">
        <f t="shared" ca="1" si="87"/>
        <v>901.11965583721394</v>
      </c>
      <c r="M204" s="306">
        <f t="shared" ca="1" si="103"/>
        <v>1.2837164865849995</v>
      </c>
      <c r="N204" s="304">
        <f t="shared" ca="1" si="104"/>
        <v>73.551536772682837</v>
      </c>
      <c r="P204" s="310">
        <f t="shared" ca="1" si="105"/>
        <v>13</v>
      </c>
      <c r="Q204" s="304">
        <f t="shared" ca="1" si="106"/>
        <v>0</v>
      </c>
      <c r="R204" s="306">
        <f t="shared" ca="1" si="107"/>
        <v>0</v>
      </c>
      <c r="S204" s="307">
        <f t="shared" ca="1" si="108"/>
        <v>2.9792999999999985</v>
      </c>
      <c r="T204" s="304">
        <f t="shared" ca="1" si="88"/>
        <v>29.226932999999988</v>
      </c>
      <c r="U204" s="311">
        <f t="shared" ca="1" si="89"/>
        <v>0</v>
      </c>
      <c r="V204" s="306">
        <f t="shared" ca="1" si="90"/>
        <v>1.1223432366309654</v>
      </c>
      <c r="W204" s="304">
        <f t="shared" ca="1" si="91"/>
        <v>45.705354169730285</v>
      </c>
      <c r="Y204" s="314" t="str">
        <f t="shared" ca="1" si="109"/>
        <v/>
      </c>
      <c r="Z204" s="315" t="str">
        <f t="shared" ca="1" si="110"/>
        <v/>
      </c>
      <c r="AA204" s="316" t="str">
        <f t="shared" ca="1" si="111"/>
        <v/>
      </c>
      <c r="AC204" s="310" t="e">
        <f t="shared" ca="1" si="112"/>
        <v>#N/A</v>
      </c>
      <c r="AD204" s="323" t="e">
        <f t="shared" ca="1" si="113"/>
        <v>#N/A</v>
      </c>
      <c r="AE204" s="324">
        <f t="shared" ca="1" si="92"/>
        <v>874.66342175312411</v>
      </c>
      <c r="AG204" s="306">
        <f t="shared" ca="1" si="114"/>
        <v>-24.806147021624952</v>
      </c>
      <c r="AH204" s="304">
        <f t="shared" ca="1" si="115"/>
        <v>-15.397076498490209</v>
      </c>
    </row>
    <row r="205" spans="1:34" x14ac:dyDescent="0.2">
      <c r="A205" s="347">
        <f t="shared" ca="1" si="93"/>
        <v>0.1</v>
      </c>
      <c r="B205" s="304">
        <f t="shared" ca="1" si="94"/>
        <v>6.6999999999999567</v>
      </c>
      <c r="D205" s="306">
        <f t="shared" ca="1" si="95"/>
        <v>-4.3438385883481905</v>
      </c>
      <c r="E205" s="307">
        <f t="shared" ca="1" si="96"/>
        <v>-24.523138686817958</v>
      </c>
      <c r="F205" s="304">
        <f t="shared" ca="1" si="97"/>
        <v>24.90488435497203</v>
      </c>
      <c r="G205" s="306">
        <f t="shared" ca="1" si="98"/>
        <v>39.496147986910159</v>
      </c>
      <c r="H205" s="307">
        <f t="shared" ca="1" si="99"/>
        <v>132.79752125658098</v>
      </c>
      <c r="I205" s="304">
        <f t="shared" ca="1" si="100"/>
        <v>138.54648085641145</v>
      </c>
      <c r="J205" s="306">
        <f t="shared" ca="1" si="101"/>
        <v>220.72126544097719</v>
      </c>
      <c r="K205" s="307">
        <f t="shared" ca="1" si="102"/>
        <v>888.06578957221632</v>
      </c>
      <c r="L205" s="304">
        <f t="shared" ca="1" si="87"/>
        <v>915.08399812606842</v>
      </c>
      <c r="M205" s="306">
        <f t="shared" ca="1" si="103"/>
        <v>1.2817115777189627</v>
      </c>
      <c r="N205" s="304">
        <f t="shared" ca="1" si="104"/>
        <v>73.436663956350571</v>
      </c>
      <c r="P205" s="310">
        <f t="shared" ca="1" si="105"/>
        <v>23</v>
      </c>
      <c r="Q205" s="304">
        <f t="shared" ca="1" si="106"/>
        <v>0</v>
      </c>
      <c r="R205" s="306">
        <f t="shared" ca="1" si="107"/>
        <v>0</v>
      </c>
      <c r="S205" s="307">
        <f t="shared" ca="1" si="108"/>
        <v>2.9792999999999985</v>
      </c>
      <c r="T205" s="304">
        <f t="shared" ca="1" si="88"/>
        <v>29.226932999999988</v>
      </c>
      <c r="U205" s="311">
        <f t="shared" ca="1" si="89"/>
        <v>0</v>
      </c>
      <c r="V205" s="306">
        <f t="shared" ca="1" si="90"/>
        <v>1.1208371154911758</v>
      </c>
      <c r="W205" s="304">
        <f t="shared" ca="1" si="91"/>
        <v>44.056132655923733</v>
      </c>
      <c r="Y205" s="314" t="str">
        <f t="shared" ca="1" si="109"/>
        <v/>
      </c>
      <c r="Z205" s="315" t="str">
        <f t="shared" ca="1" si="110"/>
        <v/>
      </c>
      <c r="AA205" s="316" t="str">
        <f t="shared" ca="1" si="111"/>
        <v/>
      </c>
      <c r="AC205" s="310" t="e">
        <f t="shared" ca="1" si="112"/>
        <v>#N/A</v>
      </c>
      <c r="AD205" s="323" t="e">
        <f t="shared" ca="1" si="113"/>
        <v>#N/A</v>
      </c>
      <c r="AE205" s="324">
        <f t="shared" ca="1" si="92"/>
        <v>888.06578957221632</v>
      </c>
      <c r="AG205" s="306">
        <f t="shared" ca="1" si="114"/>
        <v>-24.749494688817215</v>
      </c>
      <c r="AH205" s="304">
        <f t="shared" ca="1" si="115"/>
        <v>-15.340970754784784</v>
      </c>
    </row>
    <row r="206" spans="1:34" x14ac:dyDescent="0.2">
      <c r="A206" s="347">
        <f t="shared" ca="1" si="93"/>
        <v>0.1</v>
      </c>
      <c r="B206" s="304">
        <f t="shared" ca="1" si="94"/>
        <v>6.7999999999999563</v>
      </c>
      <c r="D206" s="306">
        <f t="shared" ca="1" si="95"/>
        <v>-4.2155221639383251</v>
      </c>
      <c r="E206" s="307">
        <f t="shared" ca="1" si="96"/>
        <v>-23.983809920874325</v>
      </c>
      <c r="F206" s="304">
        <f t="shared" ca="1" si="97"/>
        <v>24.351463311991846</v>
      </c>
      <c r="G206" s="306">
        <f t="shared" ca="1" si="98"/>
        <v>39.074595770516325</v>
      </c>
      <c r="H206" s="307">
        <f t="shared" ca="1" si="99"/>
        <v>130.39914026449355</v>
      </c>
      <c r="I206" s="304">
        <f t="shared" ca="1" si="100"/>
        <v>136.127733457765</v>
      </c>
      <c r="J206" s="306">
        <f t="shared" ca="1" si="101"/>
        <v>224.64980262884851</v>
      </c>
      <c r="K206" s="307">
        <f t="shared" ca="1" si="102"/>
        <v>901.22562264827002</v>
      </c>
      <c r="L206" s="304">
        <f t="shared" ca="1" si="87"/>
        <v>928.8030774814124</v>
      </c>
      <c r="M206" s="306">
        <f t="shared" ca="1" si="103"/>
        <v>1.2796571922156308</v>
      </c>
      <c r="N206" s="304">
        <f t="shared" ca="1" si="104"/>
        <v>73.318956337516781</v>
      </c>
      <c r="P206" s="310">
        <f t="shared" ca="1" si="105"/>
        <v>23</v>
      </c>
      <c r="Q206" s="304">
        <f t="shared" ca="1" si="106"/>
        <v>0</v>
      </c>
      <c r="R206" s="306">
        <f t="shared" ca="1" si="107"/>
        <v>0</v>
      </c>
      <c r="S206" s="307">
        <f t="shared" ca="1" si="108"/>
        <v>2.9792999999999985</v>
      </c>
      <c r="T206" s="304">
        <f t="shared" ca="1" si="88"/>
        <v>29.226932999999988</v>
      </c>
      <c r="U206" s="311">
        <f t="shared" ca="1" si="89"/>
        <v>0</v>
      </c>
      <c r="V206" s="306">
        <f t="shared" ca="1" si="90"/>
        <v>1.1193601291449768</v>
      </c>
      <c r="W206" s="304">
        <f t="shared" ca="1" si="91"/>
        <v>42.475248663361853</v>
      </c>
      <c r="Y206" s="314" t="str">
        <f t="shared" ca="1" si="109"/>
        <v/>
      </c>
      <c r="Z206" s="315" t="str">
        <f t="shared" ca="1" si="110"/>
        <v/>
      </c>
      <c r="AA206" s="316" t="str">
        <f t="shared" ca="1" si="111"/>
        <v/>
      </c>
      <c r="AC206" s="310" t="e">
        <f t="shared" ca="1" si="112"/>
        <v>#N/A</v>
      </c>
      <c r="AD206" s="323" t="e">
        <f t="shared" ca="1" si="113"/>
        <v>#N/A</v>
      </c>
      <c r="AE206" s="324">
        <f t="shared" ca="1" si="92"/>
        <v>901.22562264827002</v>
      </c>
      <c r="AG206" s="306">
        <f t="shared" ca="1" si="114"/>
        <v>-24.19034662081075</v>
      </c>
      <c r="AH206" s="304">
        <f t="shared" ca="1" si="115"/>
        <v>-14.787410685705956</v>
      </c>
    </row>
    <row r="207" spans="1:34" x14ac:dyDescent="0.2">
      <c r="A207" s="347">
        <f t="shared" ca="1" si="93"/>
        <v>0.1</v>
      </c>
      <c r="B207" s="304">
        <f t="shared" ca="1" si="94"/>
        <v>6.8999999999999559</v>
      </c>
      <c r="D207" s="306">
        <f t="shared" ca="1" si="95"/>
        <v>-4.0923198839087043</v>
      </c>
      <c r="E207" s="307">
        <f t="shared" ca="1" si="96"/>
        <v>-23.466827000412394</v>
      </c>
      <c r="F207" s="304">
        <f t="shared" ca="1" si="97"/>
        <v>23.820979230491737</v>
      </c>
      <c r="G207" s="306">
        <f t="shared" ca="1" si="98"/>
        <v>38.665363782125453</v>
      </c>
      <c r="H207" s="307">
        <f t="shared" ca="1" si="99"/>
        <v>128.05245756445231</v>
      </c>
      <c r="I207" s="304">
        <f t="shared" ca="1" si="100"/>
        <v>133.76263396292688</v>
      </c>
      <c r="J207" s="306">
        <f t="shared" ca="1" si="101"/>
        <v>228.5368006064806</v>
      </c>
      <c r="K207" s="307">
        <f t="shared" ca="1" si="102"/>
        <v>914.14820253971732</v>
      </c>
      <c r="L207" s="304">
        <f t="shared" ca="1" si="87"/>
        <v>942.2823384941704</v>
      </c>
      <c r="M207" s="306">
        <f t="shared" ca="1" si="103"/>
        <v>1.2775520453658609</v>
      </c>
      <c r="N207" s="304">
        <f t="shared" ca="1" si="104"/>
        <v>73.198340307769712</v>
      </c>
      <c r="P207" s="310">
        <f t="shared" ca="1" si="105"/>
        <v>23</v>
      </c>
      <c r="Q207" s="304">
        <f t="shared" ca="1" si="106"/>
        <v>0</v>
      </c>
      <c r="R207" s="306">
        <f t="shared" ca="1" si="107"/>
        <v>0</v>
      </c>
      <c r="S207" s="307">
        <f t="shared" ca="1" si="108"/>
        <v>2.9792999999999985</v>
      </c>
      <c r="T207" s="304">
        <f t="shared" ca="1" si="88"/>
        <v>29.226932999999988</v>
      </c>
      <c r="U207" s="311">
        <f t="shared" ca="1" si="89"/>
        <v>0</v>
      </c>
      <c r="V207" s="306">
        <f t="shared" ca="1" si="90"/>
        <v>1.1179115795425831</v>
      </c>
      <c r="W207" s="304">
        <f t="shared" ca="1" si="91"/>
        <v>40.959056887071711</v>
      </c>
      <c r="Y207" s="314" t="str">
        <f t="shared" ca="1" si="109"/>
        <v/>
      </c>
      <c r="Z207" s="315" t="str">
        <f t="shared" ca="1" si="110"/>
        <v/>
      </c>
      <c r="AA207" s="316" t="str">
        <f t="shared" ca="1" si="111"/>
        <v/>
      </c>
      <c r="AC207" s="310" t="e">
        <f t="shared" ca="1" si="112"/>
        <v>#N/A</v>
      </c>
      <c r="AD207" s="323" t="e">
        <f t="shared" ca="1" si="113"/>
        <v>#N/A</v>
      </c>
      <c r="AE207" s="324">
        <f t="shared" ca="1" si="92"/>
        <v>914.14820253971732</v>
      </c>
      <c r="AG207" s="306">
        <f t="shared" ca="1" si="114"/>
        <v>-23.653958888662345</v>
      </c>
      <c r="AH207" s="304">
        <f t="shared" ca="1" si="115"/>
        <v>-14.256788058725833</v>
      </c>
    </row>
    <row r="208" spans="1:34" x14ac:dyDescent="0.2">
      <c r="A208" s="347">
        <f t="shared" ca="1" si="93"/>
        <v>0.1</v>
      </c>
      <c r="B208" s="304">
        <f t="shared" ca="1" si="94"/>
        <v>6.9999999999999556</v>
      </c>
      <c r="D208" s="306">
        <f t="shared" ca="1" si="95"/>
        <v>-3.9739555043764558</v>
      </c>
      <c r="E208" s="307">
        <f t="shared" ca="1" si="96"/>
        <v>-22.970997823649974</v>
      </c>
      <c r="F208" s="304">
        <f t="shared" ca="1" si="97"/>
        <v>23.31220846176732</v>
      </c>
      <c r="G208" s="306">
        <f t="shared" ca="1" si="98"/>
        <v>38.26796823168781</v>
      </c>
      <c r="H208" s="307">
        <f t="shared" ca="1" si="99"/>
        <v>125.75535778208732</v>
      </c>
      <c r="I208" s="304">
        <f t="shared" ca="1" si="100"/>
        <v>131.44902967873995</v>
      </c>
      <c r="J208" s="306">
        <f t="shared" ca="1" si="101"/>
        <v>232.38346720717126</v>
      </c>
      <c r="K208" s="307">
        <f t="shared" ca="1" si="102"/>
        <v>926.83859330704433</v>
      </c>
      <c r="L208" s="304">
        <f t="shared" ca="1" si="87"/>
        <v>955.52700321582074</v>
      </c>
      <c r="M208" s="306">
        <f t="shared" ca="1" si="103"/>
        <v>1.2753948014729564</v>
      </c>
      <c r="N208" s="304">
        <f t="shared" ca="1" si="104"/>
        <v>73.074739337325909</v>
      </c>
      <c r="P208" s="310">
        <f t="shared" ca="1" si="105"/>
        <v>23</v>
      </c>
      <c r="Q208" s="304">
        <f t="shared" ca="1" si="106"/>
        <v>0</v>
      </c>
      <c r="R208" s="306">
        <f t="shared" ca="1" si="107"/>
        <v>0</v>
      </c>
      <c r="S208" s="307">
        <f t="shared" ca="1" si="108"/>
        <v>2.9792999999999985</v>
      </c>
      <c r="T208" s="304">
        <f t="shared" ca="1" si="88"/>
        <v>29.226932999999988</v>
      </c>
      <c r="U208" s="311">
        <f t="shared" ca="1" si="89"/>
        <v>0</v>
      </c>
      <c r="V208" s="306">
        <f t="shared" ca="1" si="90"/>
        <v>1.116490798121389</v>
      </c>
      <c r="W208" s="304">
        <f t="shared" ca="1" si="91"/>
        <v>39.504155918468015</v>
      </c>
      <c r="Y208" s="314" t="str">
        <f t="shared" ca="1" si="109"/>
        <v/>
      </c>
      <c r="Z208" s="315" t="str">
        <f t="shared" ca="1" si="110"/>
        <v/>
      </c>
      <c r="AA208" s="316" t="str">
        <f t="shared" ca="1" si="111"/>
        <v/>
      </c>
      <c r="AC208" s="310">
        <f t="shared" ca="1" si="112"/>
        <v>6.9999999999999556</v>
      </c>
      <c r="AD208" s="323">
        <f t="shared" ca="1" si="113"/>
        <v>232.38346720717126</v>
      </c>
      <c r="AE208" s="324">
        <f t="shared" ca="1" si="92"/>
        <v>926.83859330704433</v>
      </c>
      <c r="AG208" s="306">
        <f t="shared" ca="1" si="114"/>
        <v>-23.13910146322776</v>
      </c>
      <c r="AH208" s="304">
        <f t="shared" ca="1" si="115"/>
        <v>-13.747879329732397</v>
      </c>
    </row>
    <row r="209" spans="1:34" x14ac:dyDescent="0.2">
      <c r="A209" s="347">
        <f t="shared" ca="1" si="93"/>
        <v>0.1</v>
      </c>
      <c r="B209" s="304">
        <f t="shared" ca="1" si="94"/>
        <v>7.0999999999999552</v>
      </c>
      <c r="D209" s="306">
        <f t="shared" ca="1" si="95"/>
        <v>-3.8601712357735236</v>
      </c>
      <c r="E209" s="307">
        <f t="shared" ca="1" si="96"/>
        <v>-22.495210040831356</v>
      </c>
      <c r="F209" s="304">
        <f t="shared" ca="1" si="97"/>
        <v>22.824009217282864</v>
      </c>
      <c r="G209" s="306">
        <f t="shared" ca="1" si="98"/>
        <v>37.881951108110457</v>
      </c>
      <c r="H209" s="307">
        <f t="shared" ca="1" si="99"/>
        <v>123.50583677800418</v>
      </c>
      <c r="I209" s="304">
        <f t="shared" ca="1" si="100"/>
        <v>129.1848827765551</v>
      </c>
      <c r="J209" s="306">
        <f t="shared" ca="1" si="101"/>
        <v>236.19096317416117</v>
      </c>
      <c r="K209" s="307">
        <f t="shared" ca="1" si="102"/>
        <v>939.30165303504896</v>
      </c>
      <c r="L209" s="304">
        <f t="shared" ca="1" si="87"/>
        <v>968.54208296775289</v>
      </c>
      <c r="M209" s="306">
        <f t="shared" ca="1" si="103"/>
        <v>1.2731840715692324</v>
      </c>
      <c r="N209" s="304">
        <f t="shared" ca="1" si="104"/>
        <v>72.948073844199158</v>
      </c>
      <c r="P209" s="310">
        <f t="shared" ca="1" si="105"/>
        <v>23</v>
      </c>
      <c r="Q209" s="304">
        <f t="shared" ca="1" si="106"/>
        <v>0</v>
      </c>
      <c r="R209" s="306">
        <f t="shared" ca="1" si="107"/>
        <v>0</v>
      </c>
      <c r="S209" s="307">
        <f t="shared" ca="1" si="108"/>
        <v>2.9792999999999985</v>
      </c>
      <c r="T209" s="304">
        <f t="shared" ca="1" si="88"/>
        <v>29.226932999999988</v>
      </c>
      <c r="U209" s="311">
        <f t="shared" ca="1" si="89"/>
        <v>0</v>
      </c>
      <c r="V209" s="306">
        <f t="shared" ca="1" si="90"/>
        <v>1.1150971442090902</v>
      </c>
      <c r="W209" s="304">
        <f t="shared" ca="1" si="91"/>
        <v>38.107368875346829</v>
      </c>
      <c r="Y209" s="314" t="str">
        <f t="shared" ca="1" si="109"/>
        <v/>
      </c>
      <c r="Z209" s="315" t="str">
        <f t="shared" ca="1" si="110"/>
        <v/>
      </c>
      <c r="AA209" s="316" t="str">
        <f t="shared" ca="1" si="111"/>
        <v/>
      </c>
      <c r="AC209" s="310" t="e">
        <f t="shared" ca="1" si="112"/>
        <v>#N/A</v>
      </c>
      <c r="AD209" s="323" t="e">
        <f t="shared" ca="1" si="113"/>
        <v>#N/A</v>
      </c>
      <c r="AE209" s="324">
        <f t="shared" ca="1" si="92"/>
        <v>939.30165303504896</v>
      </c>
      <c r="AG209" s="306">
        <f t="shared" ca="1" si="114"/>
        <v>-22.644625864201661</v>
      </c>
      <c r="AH209" s="304">
        <f t="shared" ca="1" si="115"/>
        <v>-13.259542818268732</v>
      </c>
    </row>
    <row r="210" spans="1:34" x14ac:dyDescent="0.2">
      <c r="A210" s="347">
        <f t="shared" ca="1" si="93"/>
        <v>0.1</v>
      </c>
      <c r="B210" s="304">
        <f t="shared" ca="1" si="94"/>
        <v>7.1999999999999549</v>
      </c>
      <c r="D210" s="306">
        <f t="shared" ca="1" si="95"/>
        <v>-3.7507262770352536</v>
      </c>
      <c r="E210" s="307">
        <f t="shared" ca="1" si="96"/>
        <v>-22.038424719953486</v>
      </c>
      <c r="F210" s="304">
        <f t="shared" ca="1" si="97"/>
        <v>22.355315066943245</v>
      </c>
      <c r="G210" s="306">
        <f t="shared" ca="1" si="98"/>
        <v>37.506878480406932</v>
      </c>
      <c r="H210" s="307">
        <f t="shared" ca="1" si="99"/>
        <v>121.30199430600884</v>
      </c>
      <c r="I210" s="304">
        <f t="shared" ca="1" si="100"/>
        <v>126.96826279019105</v>
      </c>
      <c r="J210" s="306">
        <f t="shared" ca="1" si="101"/>
        <v>239.96040465358703</v>
      </c>
      <c r="K210" s="307">
        <f t="shared" ca="1" si="102"/>
        <v>951.5420445892496</v>
      </c>
      <c r="L210" s="304">
        <f t="shared" ca="1" si="87"/>
        <v>981.33238936794635</v>
      </c>
      <c r="M210" s="306">
        <f t="shared" ca="1" si="103"/>
        <v>1.2709184110064116</v>
      </c>
      <c r="N210" s="304">
        <f t="shared" ca="1" si="104"/>
        <v>72.818261056140301</v>
      </c>
      <c r="P210" s="310">
        <f t="shared" ca="1" si="105"/>
        <v>23</v>
      </c>
      <c r="Q210" s="304">
        <f t="shared" ca="1" si="106"/>
        <v>0</v>
      </c>
      <c r="R210" s="306">
        <f t="shared" ca="1" si="107"/>
        <v>0</v>
      </c>
      <c r="S210" s="307">
        <f t="shared" ca="1" si="108"/>
        <v>2.9792999999999985</v>
      </c>
      <c r="T210" s="304">
        <f t="shared" ca="1" si="88"/>
        <v>29.226932999999988</v>
      </c>
      <c r="U210" s="311">
        <f t="shared" ca="1" si="89"/>
        <v>0</v>
      </c>
      <c r="V210" s="306">
        <f t="shared" ca="1" si="90"/>
        <v>1.1137300035347177</v>
      </c>
      <c r="W210" s="304">
        <f t="shared" ca="1" si="91"/>
        <v>36.76572581076389</v>
      </c>
      <c r="Y210" s="314" t="str">
        <f t="shared" ca="1" si="109"/>
        <v/>
      </c>
      <c r="Z210" s="315" t="str">
        <f t="shared" ca="1" si="110"/>
        <v/>
      </c>
      <c r="AA210" s="316" t="str">
        <f t="shared" ca="1" si="111"/>
        <v/>
      </c>
      <c r="AC210" s="310" t="e">
        <f t="shared" ca="1" si="112"/>
        <v>#N/A</v>
      </c>
      <c r="AD210" s="323" t="e">
        <f t="shared" ca="1" si="113"/>
        <v>#N/A</v>
      </c>
      <c r="AE210" s="324">
        <f t="shared" ca="1" si="92"/>
        <v>951.5420445892496</v>
      </c>
      <c r="AG210" s="306">
        <f t="shared" ca="1" si="114"/>
        <v>-22.169458640970518</v>
      </c>
      <c r="AH210" s="304">
        <f t="shared" ca="1" si="115"/>
        <v>-12.790712206003708</v>
      </c>
    </row>
    <row r="211" spans="1:34" x14ac:dyDescent="0.2">
      <c r="A211" s="347">
        <f t="shared" ca="1" si="93"/>
        <v>0.1</v>
      </c>
      <c r="B211" s="304">
        <f t="shared" ca="1" si="94"/>
        <v>7.2999999999999545</v>
      </c>
      <c r="D211" s="306">
        <f t="shared" ca="1" si="95"/>
        <v>-3.6453954844658076</v>
      </c>
      <c r="E211" s="307">
        <f t="shared" ca="1" si="96"/>
        <v>-21.599670594176946</v>
      </c>
      <c r="F211" s="304">
        <f t="shared" ca="1" si="97"/>
        <v>21.905129034432001</v>
      </c>
      <c r="G211" s="306">
        <f t="shared" ca="1" si="98"/>
        <v>37.142338931960353</v>
      </c>
      <c r="H211" s="307">
        <f t="shared" ca="1" si="99"/>
        <v>119.14202724659114</v>
      </c>
      <c r="I211" s="304">
        <f t="shared" ca="1" si="100"/>
        <v>124.79733970627773</v>
      </c>
      <c r="J211" s="306">
        <f t="shared" ca="1" si="101"/>
        <v>243.69286552420539</v>
      </c>
      <c r="K211" s="307">
        <f t="shared" ca="1" si="102"/>
        <v>963.56424566687963</v>
      </c>
      <c r="L211" s="304">
        <f t="shared" ca="1" si="87"/>
        <v>993.90254463653594</v>
      </c>
      <c r="M211" s="306">
        <f t="shared" ca="1" si="103"/>
        <v>1.2685963169122216</v>
      </c>
      <c r="N211" s="304">
        <f t="shared" ca="1" si="104"/>
        <v>72.685214864910961</v>
      </c>
      <c r="P211" s="310">
        <f t="shared" ca="1" si="105"/>
        <v>23</v>
      </c>
      <c r="Q211" s="304">
        <f t="shared" ca="1" si="106"/>
        <v>0</v>
      </c>
      <c r="R211" s="306">
        <f t="shared" ca="1" si="107"/>
        <v>0</v>
      </c>
      <c r="S211" s="307">
        <f t="shared" ca="1" si="108"/>
        <v>2.9792999999999985</v>
      </c>
      <c r="T211" s="304">
        <f t="shared" ca="1" si="88"/>
        <v>29.226932999999988</v>
      </c>
      <c r="U211" s="311">
        <f t="shared" ca="1" si="89"/>
        <v>0</v>
      </c>
      <c r="V211" s="306">
        <f t="shared" ca="1" si="90"/>
        <v>1.1123887868389648</v>
      </c>
      <c r="W211" s="304">
        <f t="shared" ca="1" si="91"/>
        <v>35.476447716023308</v>
      </c>
      <c r="Y211" s="314" t="str">
        <f t="shared" ca="1" si="109"/>
        <v/>
      </c>
      <c r="Z211" s="315" t="str">
        <f t="shared" ca="1" si="110"/>
        <v/>
      </c>
      <c r="AA211" s="316" t="str">
        <f t="shared" ca="1" si="111"/>
        <v/>
      </c>
      <c r="AC211" s="310" t="e">
        <f t="shared" ca="1" si="112"/>
        <v>#N/A</v>
      </c>
      <c r="AD211" s="323" t="e">
        <f t="shared" ca="1" si="113"/>
        <v>#N/A</v>
      </c>
      <c r="AE211" s="324">
        <f t="shared" ca="1" si="92"/>
        <v>963.56424566687963</v>
      </c>
      <c r="AG211" s="306">
        <f t="shared" ca="1" si="114"/>
        <v>-21.712595449391145</v>
      </c>
      <c r="AH211" s="304">
        <f t="shared" ca="1" si="115"/>
        <v>-12.340390632284063</v>
      </c>
    </row>
    <row r="212" spans="1:34" x14ac:dyDescent="0.2">
      <c r="A212" s="347">
        <f t="shared" ca="1" si="93"/>
        <v>0.1</v>
      </c>
      <c r="B212" s="304">
        <f t="shared" ca="1" si="94"/>
        <v>7.3999999999999542</v>
      </c>
      <c r="D212" s="306">
        <f t="shared" ca="1" si="95"/>
        <v>-3.5439681612951506</v>
      </c>
      <c r="E212" s="307">
        <f t="shared" ca="1" si="96"/>
        <v>-21.178038830498956</v>
      </c>
      <c r="F212" s="304">
        <f t="shared" ca="1" si="97"/>
        <v>21.4725182275949</v>
      </c>
      <c r="G212" s="306">
        <f t="shared" ca="1" si="98"/>
        <v>36.787942115830838</v>
      </c>
      <c r="H212" s="307">
        <f t="shared" ca="1" si="99"/>
        <v>117.02422336354124</v>
      </c>
      <c r="I212" s="304">
        <f t="shared" ca="1" si="100"/>
        <v>122.67037759360534</v>
      </c>
      <c r="J212" s="306">
        <f t="shared" ca="1" si="101"/>
        <v>247.38937957659493</v>
      </c>
      <c r="K212" s="307">
        <f t="shared" ca="1" si="102"/>
        <v>975.3725581973863</v>
      </c>
      <c r="L212" s="304">
        <f t="shared" ca="1" si="87"/>
        <v>1006.2569912362379</v>
      </c>
      <c r="M212" s="306">
        <f t="shared" ca="1" si="103"/>
        <v>1.2662162255050542</v>
      </c>
      <c r="N212" s="304">
        <f t="shared" ca="1" si="104"/>
        <v>72.548845672424918</v>
      </c>
      <c r="P212" s="310">
        <f t="shared" ca="1" si="105"/>
        <v>23</v>
      </c>
      <c r="Q212" s="304">
        <f t="shared" ca="1" si="106"/>
        <v>0</v>
      </c>
      <c r="R212" s="306">
        <f t="shared" ca="1" si="107"/>
        <v>0</v>
      </c>
      <c r="S212" s="307">
        <f t="shared" ca="1" si="108"/>
        <v>2.9792999999999985</v>
      </c>
      <c r="T212" s="304">
        <f t="shared" ca="1" si="88"/>
        <v>29.226932999999988</v>
      </c>
      <c r="U212" s="311">
        <f t="shared" ca="1" si="89"/>
        <v>0</v>
      </c>
      <c r="V212" s="306">
        <f t="shared" ca="1" si="90"/>
        <v>1.1110729285759604</v>
      </c>
      <c r="W212" s="304">
        <f t="shared" ca="1" si="91"/>
        <v>34.236931954366064</v>
      </c>
      <c r="Y212" s="314" t="str">
        <f t="shared" ca="1" si="109"/>
        <v/>
      </c>
      <c r="Z212" s="315" t="str">
        <f t="shared" ca="1" si="110"/>
        <v/>
      </c>
      <c r="AA212" s="316" t="str">
        <f t="shared" ca="1" si="111"/>
        <v/>
      </c>
      <c r="AC212" s="310" t="e">
        <f t="shared" ca="1" si="112"/>
        <v>#N/A</v>
      </c>
      <c r="AD212" s="323" t="e">
        <f t="shared" ca="1" si="113"/>
        <v>#N/A</v>
      </c>
      <c r="AE212" s="324">
        <f t="shared" ca="1" si="92"/>
        <v>975.3725581973863</v>
      </c>
      <c r="AG212" s="306">
        <f t="shared" ca="1" si="114"/>
        <v>-21.273095662391157</v>
      </c>
      <c r="AH212" s="304">
        <f t="shared" ca="1" si="115"/>
        <v>-11.90764532474854</v>
      </c>
    </row>
    <row r="213" spans="1:34" x14ac:dyDescent="0.2">
      <c r="A213" s="347">
        <f t="shared" ca="1" si="93"/>
        <v>0.1</v>
      </c>
      <c r="B213" s="304">
        <f t="shared" ca="1" si="94"/>
        <v>7.4999999999999538</v>
      </c>
      <c r="D213" s="306">
        <f t="shared" ca="1" si="95"/>
        <v>-3.4462469555597135</v>
      </c>
      <c r="E213" s="307">
        <f t="shared" ca="1" si="96"/>
        <v>-20.772678266251688</v>
      </c>
      <c r="F213" s="304">
        <f t="shared" ca="1" si="97"/>
        <v>21.056608949019065</v>
      </c>
      <c r="G213" s="306">
        <f t="shared" ca="1" si="98"/>
        <v>36.443317420274866</v>
      </c>
      <c r="H213" s="307">
        <f t="shared" ca="1" si="99"/>
        <v>114.94695553691606</v>
      </c>
      <c r="I213" s="304">
        <f t="shared" ca="1" si="100"/>
        <v>120.58572872359593</v>
      </c>
      <c r="J213" s="306">
        <f t="shared" ca="1" si="101"/>
        <v>251.0509425534002</v>
      </c>
      <c r="K213" s="307">
        <f t="shared" ca="1" si="102"/>
        <v>986.97111714240918</v>
      </c>
      <c r="L213" s="304">
        <f t="shared" ca="1" si="87"/>
        <v>1018.4000008986085</v>
      </c>
      <c r="M213" s="306">
        <f t="shared" ca="1" si="103"/>
        <v>1.2637765092579858</v>
      </c>
      <c r="N213" s="304">
        <f t="shared" ca="1" si="104"/>
        <v>72.409060228258397</v>
      </c>
      <c r="P213" s="310">
        <f t="shared" ca="1" si="105"/>
        <v>23</v>
      </c>
      <c r="Q213" s="304">
        <f t="shared" ca="1" si="106"/>
        <v>0</v>
      </c>
      <c r="R213" s="306">
        <f t="shared" ca="1" si="107"/>
        <v>0</v>
      </c>
      <c r="S213" s="307">
        <f t="shared" ca="1" si="108"/>
        <v>2.9792999999999985</v>
      </c>
      <c r="T213" s="304">
        <f t="shared" ca="1" si="88"/>
        <v>29.226932999999988</v>
      </c>
      <c r="U213" s="311">
        <f t="shared" ca="1" si="89"/>
        <v>0</v>
      </c>
      <c r="V213" s="306">
        <f t="shared" ca="1" si="90"/>
        <v>1.1097818856993715</v>
      </c>
      <c r="W213" s="304">
        <f t="shared" ca="1" si="91"/>
        <v>33.044738980598531</v>
      </c>
      <c r="Y213" s="314" t="str">
        <f t="shared" ca="1" si="109"/>
        <v/>
      </c>
      <c r="Z213" s="315" t="str">
        <f t="shared" ca="1" si="110"/>
        <v/>
      </c>
      <c r="AA213" s="316" t="str">
        <f t="shared" ca="1" si="111"/>
        <v/>
      </c>
      <c r="AC213" s="310" t="e">
        <f t="shared" ca="1" si="112"/>
        <v>#N/A</v>
      </c>
      <c r="AD213" s="323" t="e">
        <f t="shared" ca="1" si="113"/>
        <v>#N/A</v>
      </c>
      <c r="AE213" s="324">
        <f t="shared" ca="1" si="92"/>
        <v>986.97111714240918</v>
      </c>
      <c r="AG213" s="306">
        <f t="shared" ca="1" si="114"/>
        <v>-20.850077459451256</v>
      </c>
      <c r="AH213" s="304">
        <f t="shared" ca="1" si="115"/>
        <v>-11.491602710155433</v>
      </c>
    </row>
    <row r="214" spans="1:34" x14ac:dyDescent="0.2">
      <c r="A214" s="347">
        <f t="shared" ca="1" si="93"/>
        <v>0.1</v>
      </c>
      <c r="B214" s="304">
        <f t="shared" ca="1" si="94"/>
        <v>7.5999999999999535</v>
      </c>
      <c r="D214" s="306">
        <f t="shared" ca="1" si="95"/>
        <v>-3.3520468553509115</v>
      </c>
      <c r="E214" s="307">
        <f t="shared" ca="1" si="96"/>
        <v>-20.382791066087705</v>
      </c>
      <c r="F214" s="304">
        <f t="shared" ca="1" si="97"/>
        <v>20.656582238217741</v>
      </c>
      <c r="G214" s="306">
        <f t="shared" ca="1" si="98"/>
        <v>36.108112734739777</v>
      </c>
      <c r="H214" s="307">
        <f t="shared" ca="1" si="99"/>
        <v>112.9086764303073</v>
      </c>
      <c r="I214" s="304">
        <f t="shared" ca="1" si="100"/>
        <v>118.54182813888315</v>
      </c>
      <c r="J214" s="306">
        <f t="shared" ca="1" si="101"/>
        <v>254.67851406115093</v>
      </c>
      <c r="K214" s="307">
        <f t="shared" ca="1" si="102"/>
        <v>998.36389874077031</v>
      </c>
      <c r="L214" s="304">
        <f t="shared" ca="1" si="87"/>
        <v>1030.3356830825896</v>
      </c>
      <c r="M214" s="306">
        <f t="shared" ca="1" si="103"/>
        <v>1.2612754739028675</v>
      </c>
      <c r="N214" s="304">
        <f t="shared" ca="1" si="104"/>
        <v>72.265761457997115</v>
      </c>
      <c r="P214" s="310">
        <f t="shared" ca="1" si="105"/>
        <v>23</v>
      </c>
      <c r="Q214" s="304">
        <f t="shared" ca="1" si="106"/>
        <v>0</v>
      </c>
      <c r="R214" s="306">
        <f t="shared" ca="1" si="107"/>
        <v>0</v>
      </c>
      <c r="S214" s="307">
        <f t="shared" ca="1" si="108"/>
        <v>2.9792999999999985</v>
      </c>
      <c r="T214" s="304">
        <f t="shared" ca="1" si="88"/>
        <v>29.226932999999988</v>
      </c>
      <c r="U214" s="311">
        <f t="shared" ca="1" si="89"/>
        <v>0</v>
      </c>
      <c r="V214" s="306">
        <f t="shared" ca="1" si="90"/>
        <v>1.1085151365263481</v>
      </c>
      <c r="W214" s="304">
        <f t="shared" ca="1" si="91"/>
        <v>31.897580218210649</v>
      </c>
      <c r="Y214" s="314" t="str">
        <f t="shared" ca="1" si="109"/>
        <v/>
      </c>
      <c r="Z214" s="315" t="str">
        <f t="shared" ca="1" si="110"/>
        <v/>
      </c>
      <c r="AA214" s="316" t="str">
        <f t="shared" ca="1" si="111"/>
        <v/>
      </c>
      <c r="AC214" s="310" t="e">
        <f t="shared" ca="1" si="112"/>
        <v>#N/A</v>
      </c>
      <c r="AD214" s="323" t="e">
        <f t="shared" ca="1" si="113"/>
        <v>#N/A</v>
      </c>
      <c r="AE214" s="324">
        <f t="shared" ca="1" si="92"/>
        <v>998.36389874077031</v>
      </c>
      <c r="AG214" s="306">
        <f t="shared" ca="1" si="114"/>
        <v>-20.442713346282211</v>
      </c>
      <c r="AH214" s="304">
        <f t="shared" ca="1" si="115"/>
        <v>-11.091443956835011</v>
      </c>
    </row>
    <row r="215" spans="1:34" x14ac:dyDescent="0.2">
      <c r="A215" s="347">
        <f t="shared" ca="1" si="93"/>
        <v>0.1</v>
      </c>
      <c r="B215" s="304">
        <f t="shared" ca="1" si="94"/>
        <v>7.6999999999999531</v>
      </c>
      <c r="D215" s="306">
        <f t="shared" ca="1" si="95"/>
        <v>-3.2611942717105529</v>
      </c>
      <c r="E215" s="307">
        <f t="shared" ca="1" si="96"/>
        <v>-20.007628757447499</v>
      </c>
      <c r="F215" s="304">
        <f t="shared" ca="1" si="97"/>
        <v>20.271669802304839</v>
      </c>
      <c r="G215" s="306">
        <f t="shared" ca="1" si="98"/>
        <v>35.781993307568719</v>
      </c>
      <c r="H215" s="307">
        <f t="shared" ca="1" si="99"/>
        <v>110.90791355456254</v>
      </c>
      <c r="I215" s="304">
        <f t="shared" ca="1" si="100"/>
        <v>116.53718863130864</v>
      </c>
      <c r="J215" s="306">
        <f t="shared" ca="1" si="101"/>
        <v>258.27301936326637</v>
      </c>
      <c r="K215" s="307">
        <f t="shared" ca="1" si="102"/>
        <v>1009.5547282400138</v>
      </c>
      <c r="L215" s="304">
        <f t="shared" ca="1" si="87"/>
        <v>1042.0679929077498</v>
      </c>
      <c r="M215" s="306">
        <f t="shared" ca="1" si="103"/>
        <v>1.2587113552645546</v>
      </c>
      <c r="N215" s="304">
        <f t="shared" ca="1" si="104"/>
        <v>72.118848281850958</v>
      </c>
      <c r="P215" s="310">
        <f t="shared" ca="1" si="105"/>
        <v>23</v>
      </c>
      <c r="Q215" s="304">
        <f t="shared" ca="1" si="106"/>
        <v>0</v>
      </c>
      <c r="R215" s="306">
        <f t="shared" ca="1" si="107"/>
        <v>0</v>
      </c>
      <c r="S215" s="307">
        <f t="shared" ca="1" si="108"/>
        <v>2.9792999999999985</v>
      </c>
      <c r="T215" s="304">
        <f t="shared" ca="1" si="88"/>
        <v>29.226932999999988</v>
      </c>
      <c r="U215" s="311">
        <f t="shared" ca="1" si="89"/>
        <v>0</v>
      </c>
      <c r="V215" s="306">
        <f t="shared" ca="1" si="90"/>
        <v>1.1072721796734035</v>
      </c>
      <c r="W215" s="304">
        <f t="shared" ca="1" si="91"/>
        <v>30.793306979823463</v>
      </c>
      <c r="Y215" s="314" t="str">
        <f t="shared" ca="1" si="109"/>
        <v/>
      </c>
      <c r="Z215" s="315" t="str">
        <f t="shared" ca="1" si="110"/>
        <v/>
      </c>
      <c r="AA215" s="316" t="str">
        <f t="shared" ca="1" si="111"/>
        <v/>
      </c>
      <c r="AC215" s="310" t="e">
        <f t="shared" ca="1" si="112"/>
        <v>#N/A</v>
      </c>
      <c r="AD215" s="323" t="e">
        <f t="shared" ca="1" si="113"/>
        <v>#N/A</v>
      </c>
      <c r="AE215" s="324">
        <f t="shared" ca="1" si="92"/>
        <v>1009.5547282400138</v>
      </c>
      <c r="AG215" s="306">
        <f t="shared" ca="1" si="114"/>
        <v>-20.050226061475321</v>
      </c>
      <c r="AH215" s="304">
        <f t="shared" ca="1" si="115"/>
        <v>-10.706400905652558</v>
      </c>
    </row>
    <row r="216" spans="1:34" x14ac:dyDescent="0.2">
      <c r="A216" s="347">
        <f t="shared" ca="1" si="93"/>
        <v>0.1</v>
      </c>
      <c r="B216" s="304">
        <f t="shared" ca="1" si="94"/>
        <v>7.7999999999999527</v>
      </c>
      <c r="D216" s="306">
        <f t="shared" ca="1" si="95"/>
        <v>-3.1735262005341194</v>
      </c>
      <c r="E216" s="307">
        <f t="shared" ca="1" si="96"/>
        <v>-19.646488607176835</v>
      </c>
      <c r="F216" s="304">
        <f t="shared" ca="1" si="97"/>
        <v>19.90115029683977</v>
      </c>
      <c r="G216" s="306">
        <f t="shared" ca="1" si="98"/>
        <v>35.464640687515306</v>
      </c>
      <c r="H216" s="307">
        <f t="shared" ca="1" si="99"/>
        <v>108.94326469384485</v>
      </c>
      <c r="I216" s="304">
        <f t="shared" ca="1" si="100"/>
        <v>114.57039609448729</v>
      </c>
      <c r="J216" s="306">
        <f t="shared" ca="1" si="101"/>
        <v>261.8353510630206</v>
      </c>
      <c r="K216" s="307">
        <f t="shared" ca="1" si="102"/>
        <v>1020.5472871524341</v>
      </c>
      <c r="L216" s="304">
        <f t="shared" ca="1" si="87"/>
        <v>1053.6007386009599</v>
      </c>
      <c r="M216" s="306">
        <f t="shared" ca="1" si="103"/>
        <v>1.256082315914667</v>
      </c>
      <c r="N216" s="304">
        <f t="shared" ca="1" si="104"/>
        <v>71.96821542292858</v>
      </c>
      <c r="P216" s="310">
        <f t="shared" ca="1" si="105"/>
        <v>23</v>
      </c>
      <c r="Q216" s="304">
        <f t="shared" ca="1" si="106"/>
        <v>0</v>
      </c>
      <c r="R216" s="306">
        <f t="shared" ca="1" si="107"/>
        <v>0</v>
      </c>
      <c r="S216" s="307">
        <f t="shared" ca="1" si="108"/>
        <v>2.9792999999999985</v>
      </c>
      <c r="T216" s="304">
        <f t="shared" ca="1" si="88"/>
        <v>29.226932999999988</v>
      </c>
      <c r="U216" s="311">
        <f t="shared" ca="1" si="89"/>
        <v>0</v>
      </c>
      <c r="V216" s="306">
        <f t="shared" ca="1" si="90"/>
        <v>1.1060525330588493</v>
      </c>
      <c r="W216" s="304">
        <f t="shared" ca="1" si="91"/>
        <v>29.729900329347526</v>
      </c>
      <c r="Y216" s="314" t="str">
        <f t="shared" ca="1" si="109"/>
        <v/>
      </c>
      <c r="Z216" s="315" t="str">
        <f t="shared" ca="1" si="110"/>
        <v/>
      </c>
      <c r="AA216" s="316" t="str">
        <f t="shared" ca="1" si="111"/>
        <v/>
      </c>
      <c r="AC216" s="310" t="e">
        <f t="shared" ca="1" si="112"/>
        <v>#N/A</v>
      </c>
      <c r="AD216" s="323" t="e">
        <f t="shared" ca="1" si="113"/>
        <v>#N/A</v>
      </c>
      <c r="AE216" s="324">
        <f t="shared" ca="1" si="92"/>
        <v>1020.5472871524341</v>
      </c>
      <c r="AG216" s="306">
        <f t="shared" ca="1" si="114"/>
        <v>-19.671884831692878</v>
      </c>
      <c r="AH216" s="304">
        <f t="shared" ca="1" si="115"/>
        <v>-10.335752351164192</v>
      </c>
    </row>
    <row r="217" spans="1:34" x14ac:dyDescent="0.2">
      <c r="A217" s="347">
        <f t="shared" ca="1" si="93"/>
        <v>0.1</v>
      </c>
      <c r="B217" s="304">
        <f t="shared" ca="1" si="94"/>
        <v>7.8999999999999524</v>
      </c>
      <c r="D217" s="306">
        <f t="shared" ca="1" si="95"/>
        <v>-3.0888894557925335</v>
      </c>
      <c r="E217" s="307">
        <f t="shared" ca="1" si="96"/>
        <v>-19.298710306062571</v>
      </c>
      <c r="F217" s="304">
        <f t="shared" ca="1" si="97"/>
        <v>19.544345922732539</v>
      </c>
      <c r="G217" s="306">
        <f t="shared" ca="1" si="98"/>
        <v>35.155751741936051</v>
      </c>
      <c r="H217" s="307">
        <f t="shared" ca="1" si="99"/>
        <v>107.0133936632386</v>
      </c>
      <c r="I217" s="304">
        <f t="shared" ca="1" si="100"/>
        <v>112.64010521951724</v>
      </c>
      <c r="J217" s="306">
        <f t="shared" ca="1" si="101"/>
        <v>265.36637068449318</v>
      </c>
      <c r="K217" s="307">
        <f t="shared" ca="1" si="102"/>
        <v>1031.3451200702882</v>
      </c>
      <c r="L217" s="304">
        <f t="shared" ca="1" si="87"/>
        <v>1064.9375884919534</v>
      </c>
      <c r="M217" s="306">
        <f t="shared" ca="1" si="103"/>
        <v>1.253386441633541</v>
      </c>
      <c r="N217" s="304">
        <f t="shared" ca="1" si="104"/>
        <v>71.813753204522186</v>
      </c>
      <c r="P217" s="310">
        <f t="shared" ca="1" si="105"/>
        <v>23</v>
      </c>
      <c r="Q217" s="304">
        <f t="shared" ca="1" si="106"/>
        <v>0</v>
      </c>
      <c r="R217" s="306">
        <f t="shared" ca="1" si="107"/>
        <v>0</v>
      </c>
      <c r="S217" s="307">
        <f t="shared" ca="1" si="108"/>
        <v>2.9792999999999985</v>
      </c>
      <c r="T217" s="304">
        <f t="shared" ca="1" si="88"/>
        <v>29.226932999999988</v>
      </c>
      <c r="U217" s="311">
        <f t="shared" ca="1" si="89"/>
        <v>0</v>
      </c>
      <c r="V217" s="306">
        <f t="shared" ca="1" si="90"/>
        <v>1.1048557329668434</v>
      </c>
      <c r="W217" s="304">
        <f t="shared" ca="1" si="91"/>
        <v>28.705461795259271</v>
      </c>
      <c r="Y217" s="314" t="str">
        <f t="shared" ca="1" si="109"/>
        <v/>
      </c>
      <c r="Z217" s="315" t="str">
        <f t="shared" ca="1" si="110"/>
        <v/>
      </c>
      <c r="AA217" s="316" t="str">
        <f t="shared" ca="1" si="111"/>
        <v/>
      </c>
      <c r="AC217" s="310" t="e">
        <f t="shared" ca="1" si="112"/>
        <v>#N/A</v>
      </c>
      <c r="AD217" s="323" t="e">
        <f t="shared" ca="1" si="113"/>
        <v>#N/A</v>
      </c>
      <c r="AE217" s="324">
        <f t="shared" ca="1" si="92"/>
        <v>1031.3451200702882</v>
      </c>
      <c r="AG217" s="306">
        <f t="shared" ca="1" si="114"/>
        <v>-19.307001941165296</v>
      </c>
      <c r="AH217" s="304">
        <f t="shared" ca="1" si="115"/>
        <v>-9.9788206388572949</v>
      </c>
    </row>
    <row r="218" spans="1:34" x14ac:dyDescent="0.2">
      <c r="A218" s="347">
        <f t="shared" ca="1" si="93"/>
        <v>0.1</v>
      </c>
      <c r="B218" s="304">
        <f t="shared" ca="1" si="94"/>
        <v>7.999999999999952</v>
      </c>
      <c r="D218" s="306">
        <f t="shared" ca="1" si="95"/>
        <v>-3.0071399672179377</v>
      </c>
      <c r="E218" s="307">
        <f t="shared" ca="1" si="96"/>
        <v>-18.96367293166093</v>
      </c>
      <c r="F218" s="304">
        <f t="shared" ca="1" si="97"/>
        <v>19.200619308799624</v>
      </c>
      <c r="G218" s="306">
        <f t="shared" ca="1" si="98"/>
        <v>34.855037745214254</v>
      </c>
      <c r="H218" s="307">
        <f t="shared" ca="1" si="99"/>
        <v>105.11702637007251</v>
      </c>
      <c r="I218" s="304">
        <f t="shared" ca="1" si="100"/>
        <v>110.74503550546557</v>
      </c>
      <c r="J218" s="306">
        <f t="shared" ca="1" si="101"/>
        <v>268.86691015885071</v>
      </c>
      <c r="K218" s="307">
        <f t="shared" ca="1" si="102"/>
        <v>1041.9516410719539</v>
      </c>
      <c r="L218" s="304">
        <f t="shared" ca="1" si="87"/>
        <v>1076.0820775902298</v>
      </c>
      <c r="M218" s="306">
        <f t="shared" ca="1" si="103"/>
        <v>1.250621737668258</v>
      </c>
      <c r="N218" s="304">
        <f t="shared" ca="1" si="104"/>
        <v>71.655347335708399</v>
      </c>
      <c r="P218" s="310">
        <f t="shared" ca="1" si="105"/>
        <v>23</v>
      </c>
      <c r="Q218" s="304">
        <f t="shared" ca="1" si="106"/>
        <v>0</v>
      </c>
      <c r="R218" s="306">
        <f t="shared" ca="1" si="107"/>
        <v>0</v>
      </c>
      <c r="S218" s="307">
        <f t="shared" ca="1" si="108"/>
        <v>2.9792999999999985</v>
      </c>
      <c r="T218" s="304">
        <f t="shared" ca="1" si="88"/>
        <v>29.226932999999988</v>
      </c>
      <c r="U218" s="311">
        <f t="shared" ca="1" si="89"/>
        <v>0</v>
      </c>
      <c r="V218" s="306">
        <f t="shared" ca="1" si="90"/>
        <v>1.1036813331685691</v>
      </c>
      <c r="W218" s="304">
        <f t="shared" ca="1" si="91"/>
        <v>27.718204854114045</v>
      </c>
      <c r="Y218" s="314" t="str">
        <f t="shared" ca="1" si="109"/>
        <v/>
      </c>
      <c r="Z218" s="315" t="str">
        <f t="shared" ca="1" si="110"/>
        <v/>
      </c>
      <c r="AA218" s="316" t="str">
        <f t="shared" ca="1" si="111"/>
        <v/>
      </c>
      <c r="AC218" s="310">
        <f t="shared" ca="1" si="112"/>
        <v>7.999999999999952</v>
      </c>
      <c r="AD218" s="323">
        <f t="shared" ca="1" si="113"/>
        <v>268.86691015885071</v>
      </c>
      <c r="AE218" s="324">
        <f t="shared" ca="1" si="92"/>
        <v>1041.9516410719539</v>
      </c>
      <c r="AG218" s="306">
        <f t="shared" ca="1" si="114"/>
        <v>-18.954929584951707</v>
      </c>
      <c r="AH218" s="304">
        <f t="shared" ca="1" si="115"/>
        <v>-9.6349685480680982</v>
      </c>
    </row>
    <row r="219" spans="1:34" x14ac:dyDescent="0.2">
      <c r="A219" s="347">
        <f t="shared" ca="1" si="93"/>
        <v>0.1</v>
      </c>
      <c r="B219" s="304">
        <f t="shared" ca="1" si="94"/>
        <v>8.0999999999999517</v>
      </c>
      <c r="D219" s="306">
        <f t="shared" ca="1" si="95"/>
        <v>-2.9281421363343485</v>
      </c>
      <c r="E219" s="307">
        <f t="shared" ca="1" si="96"/>
        <v>-18.64079216296761</v>
      </c>
      <c r="F219" s="304">
        <f t="shared" ca="1" si="97"/>
        <v>18.869370652820706</v>
      </c>
      <c r="G219" s="306">
        <f t="shared" ca="1" si="98"/>
        <v>34.56222353158082</v>
      </c>
      <c r="H219" s="307">
        <f t="shared" ca="1" si="99"/>
        <v>103.25294715377575</v>
      </c>
      <c r="I219" s="304">
        <f t="shared" ca="1" si="100"/>
        <v>108.88396755899083</v>
      </c>
      <c r="J219" s="306">
        <f t="shared" ca="1" si="101"/>
        <v>272.33777322269049</v>
      </c>
      <c r="K219" s="307">
        <f t="shared" ca="1" si="102"/>
        <v>1052.3701397481464</v>
      </c>
      <c r="L219" s="304">
        <f t="shared" ca="1" si="87"/>
        <v>1087.0376137730591</v>
      </c>
      <c r="M219" s="306">
        <f t="shared" ca="1" si="103"/>
        <v>1.247786124773798</v>
      </c>
      <c r="N219" s="304">
        <f t="shared" ca="1" si="104"/>
        <v>71.492878684522964</v>
      </c>
      <c r="P219" s="310">
        <f t="shared" ca="1" si="105"/>
        <v>23</v>
      </c>
      <c r="Q219" s="304">
        <f t="shared" ca="1" si="106"/>
        <v>0</v>
      </c>
      <c r="R219" s="306">
        <f t="shared" ca="1" si="107"/>
        <v>0</v>
      </c>
      <c r="S219" s="307">
        <f t="shared" ca="1" si="108"/>
        <v>2.9792999999999985</v>
      </c>
      <c r="T219" s="304">
        <f t="shared" ca="1" si="88"/>
        <v>29.226932999999988</v>
      </c>
      <c r="U219" s="311">
        <f t="shared" ca="1" si="89"/>
        <v>0</v>
      </c>
      <c r="V219" s="306">
        <f t="shared" ca="1" si="90"/>
        <v>1.1025289040964108</v>
      </c>
      <c r="W219" s="304">
        <f t="shared" ca="1" si="91"/>
        <v>26.7664471119792</v>
      </c>
      <c r="Y219" s="314" t="str">
        <f t="shared" ca="1" si="109"/>
        <v/>
      </c>
      <c r="Z219" s="315" t="str">
        <f t="shared" ca="1" si="110"/>
        <v/>
      </c>
      <c r="AA219" s="316" t="str">
        <f t="shared" ca="1" si="111"/>
        <v/>
      </c>
      <c r="AC219" s="310" t="e">
        <f t="shared" ca="1" si="112"/>
        <v>#N/A</v>
      </c>
      <c r="AD219" s="323" t="e">
        <f t="shared" ca="1" si="113"/>
        <v>#N/A</v>
      </c>
      <c r="AE219" s="324">
        <f t="shared" ca="1" si="92"/>
        <v>1052.3701397481464</v>
      </c>
      <c r="AG219" s="306">
        <f t="shared" ca="1" si="114"/>
        <v>-18.615056978669273</v>
      </c>
      <c r="AH219" s="304">
        <f t="shared" ca="1" si="115"/>
        <v>-9.3035964334286785</v>
      </c>
    </row>
    <row r="220" spans="1:34" x14ac:dyDescent="0.2">
      <c r="A220" s="347">
        <f t="shared" ca="1" si="93"/>
        <v>0.1</v>
      </c>
      <c r="B220" s="304">
        <f t="shared" ca="1" si="94"/>
        <v>8.1999999999999513</v>
      </c>
      <c r="D220" s="306">
        <f t="shared" ca="1" si="95"/>
        <v>-2.8517682453627633</v>
      </c>
      <c r="E220" s="307">
        <f t="shared" ca="1" si="96"/>
        <v>-18.329517723279693</v>
      </c>
      <c r="F220" s="304">
        <f t="shared" ca="1" si="97"/>
        <v>18.55003509682081</v>
      </c>
      <c r="G220" s="306">
        <f t="shared" ca="1" si="98"/>
        <v>34.277046707044541</v>
      </c>
      <c r="H220" s="307">
        <f t="shared" ca="1" si="99"/>
        <v>101.41999538144778</v>
      </c>
      <c r="I220" s="304">
        <f t="shared" ca="1" si="100"/>
        <v>107.05573965990709</v>
      </c>
      <c r="J220" s="306">
        <f t="shared" ca="1" si="101"/>
        <v>275.77973673462174</v>
      </c>
      <c r="K220" s="307">
        <f t="shared" ca="1" si="102"/>
        <v>1062.6037868749074</v>
      </c>
      <c r="L220" s="304">
        <f t="shared" ca="1" si="87"/>
        <v>1097.8074836119085</v>
      </c>
      <c r="M220" s="306">
        <f t="shared" ca="1" si="103"/>
        <v>1.2448774350234812</v>
      </c>
      <c r="N220" s="304">
        <f t="shared" ca="1" si="104"/>
        <v>71.326223037916847</v>
      </c>
      <c r="P220" s="310">
        <f t="shared" ca="1" si="105"/>
        <v>23</v>
      </c>
      <c r="Q220" s="304">
        <f t="shared" ca="1" si="106"/>
        <v>0</v>
      </c>
      <c r="R220" s="306">
        <f t="shared" ca="1" si="107"/>
        <v>0</v>
      </c>
      <c r="S220" s="307">
        <f t="shared" ca="1" si="108"/>
        <v>2.9792999999999985</v>
      </c>
      <c r="T220" s="304">
        <f t="shared" ca="1" si="88"/>
        <v>29.226932999999988</v>
      </c>
      <c r="U220" s="311">
        <f t="shared" ca="1" si="89"/>
        <v>0</v>
      </c>
      <c r="V220" s="306">
        <f t="shared" ca="1" si="90"/>
        <v>1.1013980320673453</v>
      </c>
      <c r="W220" s="304">
        <f t="shared" ca="1" si="91"/>
        <v>25.848603119037993</v>
      </c>
      <c r="Y220" s="314" t="str">
        <f t="shared" ca="1" si="109"/>
        <v/>
      </c>
      <c r="Z220" s="315" t="str">
        <f t="shared" ca="1" si="110"/>
        <v/>
      </c>
      <c r="AA220" s="316" t="str">
        <f t="shared" ca="1" si="111"/>
        <v/>
      </c>
      <c r="AC220" s="310" t="e">
        <f t="shared" ca="1" si="112"/>
        <v>#N/A</v>
      </c>
      <c r="AD220" s="323" t="e">
        <f t="shared" ca="1" si="113"/>
        <v>#N/A</v>
      </c>
      <c r="AE220" s="324">
        <f t="shared" ca="1" si="92"/>
        <v>1062.6037868749074</v>
      </c>
      <c r="AG220" s="306">
        <f t="shared" ca="1" si="114"/>
        <v>-18.286807700258827</v>
      </c>
      <c r="AH220" s="304">
        <f t="shared" ca="1" si="115"/>
        <v>-8.9841396005703391</v>
      </c>
    </row>
    <row r="221" spans="1:34" x14ac:dyDescent="0.2">
      <c r="A221" s="347">
        <f t="shared" ca="1" si="93"/>
        <v>0.1</v>
      </c>
      <c r="B221" s="304">
        <f t="shared" ca="1" si="94"/>
        <v>8.299999999999951</v>
      </c>
      <c r="D221" s="306">
        <f t="shared" ca="1" si="95"/>
        <v>-2.7778979141033129</v>
      </c>
      <c r="E221" s="307">
        <f t="shared" ca="1" si="96"/>
        <v>-18.029331030073546</v>
      </c>
      <c r="F221" s="304">
        <f t="shared" ca="1" si="97"/>
        <v>18.242080314842177</v>
      </c>
      <c r="G221" s="306">
        <f t="shared" ca="1" si="98"/>
        <v>33.999256915634213</v>
      </c>
      <c r="H221" s="307">
        <f t="shared" ca="1" si="99"/>
        <v>99.617062278440429</v>
      </c>
      <c r="I221" s="304">
        <f t="shared" ca="1" si="100"/>
        <v>105.25924457168587</v>
      </c>
      <c r="J221" s="306">
        <f t="shared" ca="1" si="101"/>
        <v>279.19355191575568</v>
      </c>
      <c r="K221" s="307">
        <f t="shared" ca="1" si="102"/>
        <v>1072.6556397579018</v>
      </c>
      <c r="L221" s="304">
        <f t="shared" ca="1" si="87"/>
        <v>1108.3948578623817</v>
      </c>
      <c r="M221" s="306">
        <f t="shared" ca="1" si="103"/>
        <v>1.2418934073739014</v>
      </c>
      <c r="N221" s="304">
        <f t="shared" ca="1" si="104"/>
        <v>71.155250847645576</v>
      </c>
      <c r="P221" s="310">
        <f t="shared" ca="1" si="105"/>
        <v>23</v>
      </c>
      <c r="Q221" s="304">
        <f t="shared" ca="1" si="106"/>
        <v>0</v>
      </c>
      <c r="R221" s="306">
        <f t="shared" ca="1" si="107"/>
        <v>0</v>
      </c>
      <c r="S221" s="307">
        <f t="shared" ca="1" si="108"/>
        <v>2.9792999999999985</v>
      </c>
      <c r="T221" s="304">
        <f t="shared" ca="1" si="88"/>
        <v>29.226932999999988</v>
      </c>
      <c r="U221" s="311">
        <f t="shared" ca="1" si="89"/>
        <v>0</v>
      </c>
      <c r="V221" s="306">
        <f t="shared" ca="1" si="90"/>
        <v>1.1002883185520964</v>
      </c>
      <c r="W221" s="304">
        <f t="shared" ca="1" si="91"/>
        <v>24.963177759312185</v>
      </c>
      <c r="Y221" s="314" t="str">
        <f t="shared" ca="1" si="109"/>
        <v/>
      </c>
      <c r="Z221" s="315" t="str">
        <f t="shared" ca="1" si="110"/>
        <v/>
      </c>
      <c r="AA221" s="316" t="str">
        <f t="shared" ca="1" si="111"/>
        <v/>
      </c>
      <c r="AC221" s="310" t="e">
        <f t="shared" ca="1" si="112"/>
        <v>#N/A</v>
      </c>
      <c r="AD221" s="323" t="e">
        <f t="shared" ca="1" si="113"/>
        <v>#N/A</v>
      </c>
      <c r="AE221" s="324">
        <f t="shared" ca="1" si="92"/>
        <v>1072.6556397579018</v>
      </c>
      <c r="AG221" s="306">
        <f t="shared" ca="1" si="114"/>
        <v>-17.969637241880907</v>
      </c>
      <c r="AH221" s="304">
        <f t="shared" ca="1" si="115"/>
        <v>-8.6760658943503532</v>
      </c>
    </row>
    <row r="222" spans="1:34" x14ac:dyDescent="0.2">
      <c r="A222" s="347">
        <f t="shared" ca="1" si="93"/>
        <v>0.1</v>
      </c>
      <c r="B222" s="304">
        <f t="shared" ca="1" si="94"/>
        <v>8.3999999999999506</v>
      </c>
      <c r="D222" s="306">
        <f t="shared" ca="1" si="95"/>
        <v>-2.7064176004044551</v>
      </c>
      <c r="E222" s="307">
        <f t="shared" ca="1" si="96"/>
        <v>-17.739743032912656</v>
      </c>
      <c r="F222" s="304">
        <f t="shared" ca="1" si="97"/>
        <v>17.945004293717851</v>
      </c>
      <c r="G222" s="306">
        <f t="shared" ca="1" si="98"/>
        <v>33.728615155593765</v>
      </c>
      <c r="H222" s="307">
        <f t="shared" ca="1" si="99"/>
        <v>97.84308797514916</v>
      </c>
      <c r="I222" s="304">
        <f t="shared" ca="1" si="100"/>
        <v>103.49342657786015</v>
      </c>
      <c r="J222" s="306">
        <f t="shared" ca="1" si="101"/>
        <v>282.57994551931705</v>
      </c>
      <c r="K222" s="307">
        <f t="shared" ca="1" si="102"/>
        <v>1082.5286472705814</v>
      </c>
      <c r="L222" s="304">
        <f t="shared" ca="1" si="87"/>
        <v>1118.8027966407551</v>
      </c>
      <c r="M222" s="306">
        <f t="shared" ca="1" si="103"/>
        <v>1.2388316829685495</v>
      </c>
      <c r="N222" s="304">
        <f t="shared" ca="1" si="104"/>
        <v>70.979826961186717</v>
      </c>
      <c r="P222" s="310">
        <f t="shared" ca="1" si="105"/>
        <v>23</v>
      </c>
      <c r="Q222" s="304">
        <f t="shared" ca="1" si="106"/>
        <v>0</v>
      </c>
      <c r="R222" s="306">
        <f t="shared" ca="1" si="107"/>
        <v>0</v>
      </c>
      <c r="S222" s="307">
        <f t="shared" ca="1" si="108"/>
        <v>2.9792999999999985</v>
      </c>
      <c r="T222" s="304">
        <f t="shared" ca="1" si="88"/>
        <v>29.226932999999988</v>
      </c>
      <c r="U222" s="311">
        <f t="shared" ca="1" si="89"/>
        <v>0</v>
      </c>
      <c r="V222" s="306">
        <f t="shared" ca="1" si="90"/>
        <v>1.0991993794868491</v>
      </c>
      <c r="W222" s="304">
        <f t="shared" ca="1" si="91"/>
        <v>24.108760163383899</v>
      </c>
      <c r="Y222" s="314" t="str">
        <f t="shared" ca="1" si="109"/>
        <v/>
      </c>
      <c r="Z222" s="315" t="str">
        <f t="shared" ca="1" si="110"/>
        <v/>
      </c>
      <c r="AA222" s="316" t="str">
        <f t="shared" ca="1" si="111"/>
        <v/>
      </c>
      <c r="AC222" s="310" t="e">
        <f t="shared" ca="1" si="112"/>
        <v>#N/A</v>
      </c>
      <c r="AD222" s="323" t="e">
        <f t="shared" ca="1" si="113"/>
        <v>#N/A</v>
      </c>
      <c r="AE222" s="324">
        <f t="shared" ca="1" si="92"/>
        <v>1082.5286472705814</v>
      </c>
      <c r="AG222" s="306">
        <f t="shared" ca="1" si="114"/>
        <v>-17.663030752269421</v>
      </c>
      <c r="AH222" s="304">
        <f t="shared" ca="1" si="115"/>
        <v>-8.3788734801168729</v>
      </c>
    </row>
    <row r="223" spans="1:34" x14ac:dyDescent="0.2">
      <c r="A223" s="347">
        <f t="shared" ca="1" si="93"/>
        <v>0.1</v>
      </c>
      <c r="B223" s="304">
        <f t="shared" ca="1" si="94"/>
        <v>8.4999999999999503</v>
      </c>
      <c r="D223" s="306">
        <f t="shared" ca="1" si="95"/>
        <v>-2.6372201402785214</v>
      </c>
      <c r="E223" s="307">
        <f t="shared" ca="1" si="96"/>
        <v>-17.460292222339067</v>
      </c>
      <c r="F223" s="304">
        <f t="shared" ca="1" si="97"/>
        <v>17.658333289349954</v>
      </c>
      <c r="G223" s="306">
        <f t="shared" ca="1" si="98"/>
        <v>33.464893141565916</v>
      </c>
      <c r="H223" s="307">
        <f t="shared" ca="1" si="99"/>
        <v>96.09705875291526</v>
      </c>
      <c r="I223" s="304">
        <f t="shared" ca="1" si="100"/>
        <v>101.75727872706538</v>
      </c>
      <c r="J223" s="306">
        <f t="shared" ca="1" si="101"/>
        <v>285.93962093417503</v>
      </c>
      <c r="K223" s="307">
        <f t="shared" ca="1" si="102"/>
        <v>1092.2256546069846</v>
      </c>
      <c r="L223" s="304">
        <f t="shared" ca="1" si="87"/>
        <v>1129.0342543083605</v>
      </c>
      <c r="M223" s="306">
        <f t="shared" ca="1" si="103"/>
        <v>1.2356898001632293</v>
      </c>
      <c r="N223" s="304">
        <f t="shared" ca="1" si="104"/>
        <v>70.799810336717144</v>
      </c>
      <c r="P223" s="310">
        <f t="shared" ca="1" si="105"/>
        <v>23</v>
      </c>
      <c r="Q223" s="304">
        <f t="shared" ca="1" si="106"/>
        <v>0</v>
      </c>
      <c r="R223" s="306">
        <f t="shared" ca="1" si="107"/>
        <v>0</v>
      </c>
      <c r="S223" s="307">
        <f t="shared" ca="1" si="108"/>
        <v>2.9792999999999985</v>
      </c>
      <c r="T223" s="304">
        <f t="shared" ca="1" si="88"/>
        <v>29.226932999999988</v>
      </c>
      <c r="U223" s="311">
        <f t="shared" ca="1" si="89"/>
        <v>0</v>
      </c>
      <c r="V223" s="306">
        <f t="shared" ca="1" si="90"/>
        <v>1.0981308446246105</v>
      </c>
      <c r="W223" s="304">
        <f t="shared" ca="1" si="91"/>
        <v>23.284018097265097</v>
      </c>
      <c r="Y223" s="314" t="str">
        <f t="shared" ca="1" si="109"/>
        <v/>
      </c>
      <c r="Z223" s="315" t="str">
        <f t="shared" ca="1" si="110"/>
        <v/>
      </c>
      <c r="AA223" s="316" t="str">
        <f t="shared" ca="1" si="111"/>
        <v/>
      </c>
      <c r="AC223" s="310" t="e">
        <f t="shared" ca="1" si="112"/>
        <v>#N/A</v>
      </c>
      <c r="AD223" s="323" t="e">
        <f t="shared" ca="1" si="113"/>
        <v>#N/A</v>
      </c>
      <c r="AE223" s="324">
        <f t="shared" ca="1" si="92"/>
        <v>1092.2256546069846</v>
      </c>
      <c r="AG223" s="306">
        <f t="shared" ca="1" si="114"/>
        <v>-17.366500951845588</v>
      </c>
      <c r="AH223" s="304">
        <f t="shared" ca="1" si="115"/>
        <v>-8.0920888005182121</v>
      </c>
    </row>
    <row r="224" spans="1:34" x14ac:dyDescent="0.2">
      <c r="A224" s="347">
        <f t="shared" ca="1" si="93"/>
        <v>0.1</v>
      </c>
      <c r="B224" s="304">
        <f t="shared" ca="1" si="94"/>
        <v>8.5999999999999499</v>
      </c>
      <c r="D224" s="306">
        <f t="shared" ca="1" si="95"/>
        <v>-2.5702043241221681</v>
      </c>
      <c r="E224" s="307">
        <f t="shared" ca="1" si="96"/>
        <v>-17.190542794424342</v>
      </c>
      <c r="F224" s="304">
        <f t="shared" ca="1" si="97"/>
        <v>17.381619942763418</v>
      </c>
      <c r="G224" s="306">
        <f t="shared" ca="1" si="98"/>
        <v>33.207872709153698</v>
      </c>
      <c r="H224" s="307">
        <f t="shared" ca="1" si="99"/>
        <v>94.378004473472828</v>
      </c>
      <c r="I224" s="304">
        <f t="shared" ca="1" si="100"/>
        <v>100.04984027104797</v>
      </c>
      <c r="J224" s="306">
        <f t="shared" ca="1" si="101"/>
        <v>289.27325922671099</v>
      </c>
      <c r="K224" s="307">
        <f t="shared" ca="1" si="102"/>
        <v>1101.7494077683041</v>
      </c>
      <c r="L224" s="304">
        <f t="shared" ca="1" si="87"/>
        <v>1139.0920840833953</v>
      </c>
      <c r="M224" s="306">
        <f t="shared" ca="1" si="103"/>
        <v>1.232465189255219</v>
      </c>
      <c r="N224" s="304">
        <f t="shared" ca="1" si="104"/>
        <v>70.615053741116299</v>
      </c>
      <c r="P224" s="310">
        <f t="shared" ca="1" si="105"/>
        <v>23</v>
      </c>
      <c r="Q224" s="304">
        <f t="shared" ca="1" si="106"/>
        <v>0</v>
      </c>
      <c r="R224" s="306">
        <f t="shared" ca="1" si="107"/>
        <v>0</v>
      </c>
      <c r="S224" s="307">
        <f t="shared" ca="1" si="108"/>
        <v>2.9792999999999985</v>
      </c>
      <c r="T224" s="304">
        <f t="shared" ca="1" si="88"/>
        <v>29.226932999999988</v>
      </c>
      <c r="U224" s="311">
        <f t="shared" ca="1" si="89"/>
        <v>0</v>
      </c>
      <c r="V224" s="306">
        <f t="shared" ca="1" si="90"/>
        <v>1.0970823569235146</v>
      </c>
      <c r="W224" s="304">
        <f t="shared" ca="1" si="91"/>
        <v>22.487692785242896</v>
      </c>
      <c r="Y224" s="314" t="str">
        <f t="shared" ca="1" si="109"/>
        <v/>
      </c>
      <c r="Z224" s="315" t="str">
        <f t="shared" ca="1" si="110"/>
        <v/>
      </c>
      <c r="AA224" s="316" t="str">
        <f t="shared" ca="1" si="111"/>
        <v/>
      </c>
      <c r="AC224" s="310" t="e">
        <f t="shared" ca="1" si="112"/>
        <v>#N/A</v>
      </c>
      <c r="AD224" s="323" t="e">
        <f t="shared" ca="1" si="113"/>
        <v>#N/A</v>
      </c>
      <c r="AE224" s="324">
        <f t="shared" ca="1" si="92"/>
        <v>1101.7494077683041</v>
      </c>
      <c r="AG224" s="306">
        <f t="shared" ca="1" si="114"/>
        <v>-17.079586204645366</v>
      </c>
      <c r="AH224" s="304">
        <f t="shared" ca="1" si="115"/>
        <v>-7.8152646921307385</v>
      </c>
    </row>
    <row r="225" spans="1:34" x14ac:dyDescent="0.2">
      <c r="A225" s="347">
        <f t="shared" ca="1" si="93"/>
        <v>0.1</v>
      </c>
      <c r="B225" s="304">
        <f t="shared" ca="1" si="94"/>
        <v>8.6999999999999496</v>
      </c>
      <c r="D225" s="306">
        <f t="shared" ca="1" si="95"/>
        <v>-2.5052745058548553</v>
      </c>
      <c r="E225" s="307">
        <f t="shared" ca="1" si="96"/>
        <v>-16.930082957185988</v>
      </c>
      <c r="F225" s="304">
        <f t="shared" ca="1" si="97"/>
        <v>17.114441541776515</v>
      </c>
      <c r="G225" s="306">
        <f t="shared" ca="1" si="98"/>
        <v>32.957345258568211</v>
      </c>
      <c r="H225" s="307">
        <f t="shared" ca="1" si="99"/>
        <v>92.684996177754229</v>
      </c>
      <c r="I225" s="304">
        <f t="shared" ca="1" si="100"/>
        <v>98.370194281412211</v>
      </c>
      <c r="J225" s="306">
        <f t="shared" ca="1" si="101"/>
        <v>292.58152012509709</v>
      </c>
      <c r="K225" s="307">
        <f t="shared" ca="1" si="102"/>
        <v>1111.1025578008655</v>
      </c>
      <c r="L225" s="304">
        <f t="shared" ca="1" si="87"/>
        <v>1148.9790423982233</v>
      </c>
      <c r="M225" s="306">
        <f t="shared" ca="1" si="103"/>
        <v>1.2291551668968972</v>
      </c>
      <c r="N225" s="304">
        <f t="shared" ca="1" si="104"/>
        <v>70.425403429890522</v>
      </c>
      <c r="P225" s="310">
        <f t="shared" ca="1" si="105"/>
        <v>23</v>
      </c>
      <c r="Q225" s="304">
        <f t="shared" ca="1" si="106"/>
        <v>0</v>
      </c>
      <c r="R225" s="306">
        <f t="shared" ca="1" si="107"/>
        <v>0</v>
      </c>
      <c r="S225" s="307">
        <f t="shared" ca="1" si="108"/>
        <v>2.9792999999999985</v>
      </c>
      <c r="T225" s="304">
        <f t="shared" ca="1" si="88"/>
        <v>29.226932999999988</v>
      </c>
      <c r="U225" s="311">
        <f t="shared" ca="1" si="89"/>
        <v>0</v>
      </c>
      <c r="V225" s="306">
        <f t="shared" ca="1" si="90"/>
        <v>1.0960535719695876</v>
      </c>
      <c r="W225" s="304">
        <f t="shared" ca="1" si="91"/>
        <v>21.71859412869523</v>
      </c>
      <c r="Y225" s="314" t="str">
        <f t="shared" ca="1" si="109"/>
        <v/>
      </c>
      <c r="Z225" s="315" t="str">
        <f t="shared" ca="1" si="110"/>
        <v/>
      </c>
      <c r="AA225" s="316" t="str">
        <f t="shared" ca="1" si="111"/>
        <v/>
      </c>
      <c r="AC225" s="310" t="e">
        <f t="shared" ca="1" si="112"/>
        <v>#N/A</v>
      </c>
      <c r="AD225" s="323" t="e">
        <f t="shared" ca="1" si="113"/>
        <v>#N/A</v>
      </c>
      <c r="AE225" s="324">
        <f t="shared" ca="1" si="92"/>
        <v>1111.1025578008655</v>
      </c>
      <c r="AG225" s="306">
        <f t="shared" ca="1" si="114"/>
        <v>-16.801848732665384</v>
      </c>
      <c r="AH225" s="304">
        <f t="shared" ca="1" si="115"/>
        <v>-7.5479786477504467</v>
      </c>
    </row>
    <row r="226" spans="1:34" x14ac:dyDescent="0.2">
      <c r="A226" s="347">
        <f t="shared" ca="1" si="93"/>
        <v>0.1</v>
      </c>
      <c r="B226" s="304">
        <f t="shared" ca="1" si="94"/>
        <v>8.7999999999999492</v>
      </c>
      <c r="D226" s="306">
        <f t="shared" ca="1" si="95"/>
        <v>-2.4423402421043408</v>
      </c>
      <c r="E226" s="307">
        <f t="shared" ca="1" si="96"/>
        <v>-16.678523366437261</v>
      </c>
      <c r="F226" s="304">
        <f t="shared" ca="1" si="97"/>
        <v>16.85639841552744</v>
      </c>
      <c r="G226" s="306">
        <f t="shared" ca="1" si="98"/>
        <v>32.713111234357775</v>
      </c>
      <c r="H226" s="307">
        <f t="shared" ca="1" si="99"/>
        <v>91.01714384111051</v>
      </c>
      <c r="I226" s="304">
        <f t="shared" ca="1" si="100"/>
        <v>96.717465432179651</v>
      </c>
      <c r="J226" s="306">
        <f t="shared" ca="1" si="101"/>
        <v>295.86504294974338</v>
      </c>
      <c r="K226" s="307">
        <f t="shared" ca="1" si="102"/>
        <v>1120.2876648018087</v>
      </c>
      <c r="L226" s="304">
        <f t="shared" ca="1" si="87"/>
        <v>1158.6977930188455</v>
      </c>
      <c r="M226" s="306">
        <f t="shared" ca="1" si="103"/>
        <v>1.2257569301732363</v>
      </c>
      <c r="N226" s="304">
        <f t="shared" ca="1" si="104"/>
        <v>70.230698807838394</v>
      </c>
      <c r="P226" s="310">
        <f t="shared" ca="1" si="105"/>
        <v>23</v>
      </c>
      <c r="Q226" s="304">
        <f t="shared" ca="1" si="106"/>
        <v>0</v>
      </c>
      <c r="R226" s="306">
        <f t="shared" ca="1" si="107"/>
        <v>0</v>
      </c>
      <c r="S226" s="307">
        <f t="shared" ca="1" si="108"/>
        <v>2.9792999999999985</v>
      </c>
      <c r="T226" s="304">
        <f t="shared" ca="1" si="88"/>
        <v>29.226932999999988</v>
      </c>
      <c r="U226" s="311">
        <f t="shared" ca="1" si="89"/>
        <v>0</v>
      </c>
      <c r="V226" s="306">
        <f t="shared" ca="1" si="90"/>
        <v>1.0950441574316885</v>
      </c>
      <c r="W226" s="304">
        <f t="shared" ca="1" si="91"/>
        <v>20.975596286584231</v>
      </c>
      <c r="Y226" s="314" t="str">
        <f t="shared" ca="1" si="109"/>
        <v/>
      </c>
      <c r="Z226" s="315" t="str">
        <f t="shared" ca="1" si="110"/>
        <v/>
      </c>
      <c r="AA226" s="316" t="str">
        <f t="shared" ca="1" si="111"/>
        <v/>
      </c>
      <c r="AC226" s="310" t="e">
        <f t="shared" ca="1" si="112"/>
        <v>#N/A</v>
      </c>
      <c r="AD226" s="323" t="e">
        <f t="shared" ca="1" si="113"/>
        <v>#N/A</v>
      </c>
      <c r="AE226" s="324">
        <f t="shared" ca="1" si="92"/>
        <v>1120.2876648018087</v>
      </c>
      <c r="AG226" s="306">
        <f t="shared" ca="1" si="114"/>
        <v>-16.532872959610081</v>
      </c>
      <c r="AH226" s="304">
        <f t="shared" ca="1" si="115"/>
        <v>-7.2898312115917303</v>
      </c>
    </row>
    <row r="227" spans="1:34" x14ac:dyDescent="0.2">
      <c r="A227" s="347">
        <f t="shared" ca="1" si="93"/>
        <v>0.1</v>
      </c>
      <c r="B227" s="304">
        <f t="shared" ca="1" si="94"/>
        <v>8.8999999999999488</v>
      </c>
      <c r="D227" s="306">
        <f t="shared" ca="1" si="95"/>
        <v>-2.3813159588496902</v>
      </c>
      <c r="E227" s="307">
        <f t="shared" ca="1" si="96"/>
        <v>-16.435495679851968</v>
      </c>
      <c r="F227" s="304">
        <f t="shared" ca="1" si="97"/>
        <v>16.607112450342019</v>
      </c>
      <c r="G227" s="306">
        <f t="shared" ca="1" si="98"/>
        <v>32.474979638472803</v>
      </c>
      <c r="H227" s="307">
        <f t="shared" ca="1" si="99"/>
        <v>89.37359427312532</v>
      </c>
      <c r="I227" s="304">
        <f t="shared" ca="1" si="100"/>
        <v>95.090817936415093</v>
      </c>
      <c r="J227" s="306">
        <f t="shared" ca="1" si="101"/>
        <v>299.12444749338493</v>
      </c>
      <c r="K227" s="307">
        <f t="shared" ca="1" si="102"/>
        <v>1129.3072017075206</v>
      </c>
      <c r="L227" s="304">
        <f t="shared" ca="1" si="87"/>
        <v>1168.2509109419489</v>
      </c>
      <c r="M227" s="306">
        <f t="shared" ca="1" si="103"/>
        <v>1.222267550321174</v>
      </c>
      <c r="N227" s="304">
        <f t="shared" ca="1" si="104"/>
        <v>70.030772069197241</v>
      </c>
      <c r="P227" s="310">
        <f t="shared" ca="1" si="105"/>
        <v>23</v>
      </c>
      <c r="Q227" s="304">
        <f t="shared" ca="1" si="106"/>
        <v>0</v>
      </c>
      <c r="R227" s="306">
        <f t="shared" ca="1" si="107"/>
        <v>0</v>
      </c>
      <c r="S227" s="307">
        <f t="shared" ca="1" si="108"/>
        <v>2.9792999999999985</v>
      </c>
      <c r="T227" s="304">
        <f t="shared" ca="1" si="88"/>
        <v>29.226932999999988</v>
      </c>
      <c r="U227" s="311">
        <f t="shared" ca="1" si="89"/>
        <v>0</v>
      </c>
      <c r="V227" s="306">
        <f t="shared" ca="1" si="90"/>
        <v>1.0940537925465048</v>
      </c>
      <c r="W227" s="304">
        <f t="shared" ca="1" si="91"/>
        <v>20.257633586647877</v>
      </c>
      <c r="Y227" s="314" t="str">
        <f t="shared" ca="1" si="109"/>
        <v/>
      </c>
      <c r="Z227" s="315" t="str">
        <f t="shared" ca="1" si="110"/>
        <v/>
      </c>
      <c r="AA227" s="316" t="str">
        <f t="shared" ca="1" si="111"/>
        <v/>
      </c>
      <c r="AC227" s="310" t="e">
        <f t="shared" ca="1" si="112"/>
        <v>#N/A</v>
      </c>
      <c r="AD227" s="323" t="e">
        <f t="shared" ca="1" si="113"/>
        <v>#N/A</v>
      </c>
      <c r="AE227" s="324">
        <f t="shared" ca="1" si="92"/>
        <v>1129.3072017075206</v>
      </c>
      <c r="AG227" s="306">
        <f t="shared" ca="1" si="114"/>
        <v>-16.27226397224635</v>
      </c>
      <c r="AH227" s="304">
        <f t="shared" ca="1" si="115"/>
        <v>-7.0404444958830066</v>
      </c>
    </row>
    <row r="228" spans="1:34" x14ac:dyDescent="0.2">
      <c r="A228" s="347">
        <f t="shared" ca="1" si="93"/>
        <v>0.1</v>
      </c>
      <c r="B228" s="304">
        <f t="shared" ca="1" si="94"/>
        <v>8.9999999999999485</v>
      </c>
      <c r="D228" s="306">
        <f t="shared" ca="1" si="95"/>
        <v>-2.3221206431836237</v>
      </c>
      <c r="E228" s="307">
        <f t="shared" ca="1" si="96"/>
        <v>-16.200651219108874</v>
      </c>
      <c r="F228" s="304">
        <f t="shared" ca="1" si="97"/>
        <v>16.366225716539333</v>
      </c>
      <c r="G228" s="306">
        <f t="shared" ca="1" si="98"/>
        <v>32.242767574154442</v>
      </c>
      <c r="H228" s="307">
        <f t="shared" ca="1" si="99"/>
        <v>87.753529151214437</v>
      </c>
      <c r="I228" s="304">
        <f t="shared" ca="1" si="100"/>
        <v>93.489453626245933</v>
      </c>
      <c r="J228" s="306">
        <f t="shared" ca="1" si="101"/>
        <v>302.36033485401629</v>
      </c>
      <c r="K228" s="307">
        <f t="shared" ca="1" si="102"/>
        <v>1138.1635578787375</v>
      </c>
      <c r="L228" s="304">
        <f t="shared" ca="1" si="87"/>
        <v>1177.6408860837921</v>
      </c>
      <c r="M228" s="306">
        <f t="shared" ca="1" si="103"/>
        <v>1.2186839660673963</v>
      </c>
      <c r="N228" s="304">
        <f t="shared" ca="1" si="104"/>
        <v>69.825447815926239</v>
      </c>
      <c r="P228" s="310">
        <f t="shared" ca="1" si="105"/>
        <v>23</v>
      </c>
      <c r="Q228" s="304">
        <f t="shared" ca="1" si="106"/>
        <v>0</v>
      </c>
      <c r="R228" s="306">
        <f t="shared" ca="1" si="107"/>
        <v>0</v>
      </c>
      <c r="S228" s="307">
        <f t="shared" ca="1" si="108"/>
        <v>2.9792999999999985</v>
      </c>
      <c r="T228" s="304">
        <f t="shared" ca="1" si="88"/>
        <v>29.226932999999988</v>
      </c>
      <c r="U228" s="311">
        <f t="shared" ca="1" si="89"/>
        <v>0</v>
      </c>
      <c r="V228" s="306">
        <f t="shared" ca="1" si="90"/>
        <v>1.0930821676316549</v>
      </c>
      <c r="W228" s="304">
        <f t="shared" ca="1" si="91"/>
        <v>19.563696739271787</v>
      </c>
      <c r="Y228" s="314" t="str">
        <f t="shared" ca="1" si="109"/>
        <v/>
      </c>
      <c r="Z228" s="315" t="str">
        <f t="shared" ca="1" si="110"/>
        <v/>
      </c>
      <c r="AA228" s="316" t="str">
        <f t="shared" ca="1" si="111"/>
        <v/>
      </c>
      <c r="AC228" s="310">
        <f t="shared" ca="1" si="112"/>
        <v>8.9999999999999485</v>
      </c>
      <c r="AD228" s="323">
        <f t="shared" ca="1" si="113"/>
        <v>302.36033485401629</v>
      </c>
      <c r="AE228" s="324">
        <f t="shared" ca="1" si="92"/>
        <v>1138.1635578787375</v>
      </c>
      <c r="AG228" s="306">
        <f t="shared" ca="1" si="114"/>
        <v>-16.0196460886594</v>
      </c>
      <c r="AH228" s="304">
        <f t="shared" ca="1" si="115"/>
        <v>-6.79946080846101</v>
      </c>
    </row>
    <row r="229" spans="1:34" x14ac:dyDescent="0.2">
      <c r="A229" s="347">
        <f t="shared" ca="1" si="93"/>
        <v>0.1</v>
      </c>
      <c r="B229" s="304">
        <f t="shared" ca="1" si="94"/>
        <v>9.0999999999999481</v>
      </c>
      <c r="D229" s="306">
        <f t="shared" ca="1" si="95"/>
        <v>-2.2646775580807001</v>
      </c>
      <c r="E229" s="307">
        <f t="shared" ca="1" si="96"/>
        <v>-15.973659730948132</v>
      </c>
      <c r="F229" s="304">
        <f t="shared" ca="1" si="97"/>
        <v>16.133399196765335</v>
      </c>
      <c r="G229" s="306">
        <f t="shared" ca="1" si="98"/>
        <v>32.016299818346369</v>
      </c>
      <c r="H229" s="307">
        <f t="shared" ca="1" si="99"/>
        <v>86.156163178119627</v>
      </c>
      <c r="I229" s="304">
        <f t="shared" ca="1" si="100"/>
        <v>91.912610166576286</v>
      </c>
      <c r="J229" s="306">
        <f t="shared" ca="1" si="101"/>
        <v>305.57328822364133</v>
      </c>
      <c r="K229" s="307">
        <f t="shared" ca="1" si="102"/>
        <v>1146.8590424952042</v>
      </c>
      <c r="L229" s="304">
        <f t="shared" ca="1" si="87"/>
        <v>1186.8701267741239</v>
      </c>
      <c r="M229" s="306">
        <f t="shared" ca="1" si="103"/>
        <v>1.2150029765594861</v>
      </c>
      <c r="N229" s="304">
        <f t="shared" ca="1" si="104"/>
        <v>69.614542652691043</v>
      </c>
      <c r="P229" s="310">
        <f t="shared" ca="1" si="105"/>
        <v>23</v>
      </c>
      <c r="Q229" s="304">
        <f t="shared" ca="1" si="106"/>
        <v>0</v>
      </c>
      <c r="R229" s="306">
        <f t="shared" ca="1" si="107"/>
        <v>0</v>
      </c>
      <c r="S229" s="307">
        <f t="shared" ca="1" si="108"/>
        <v>2.9792999999999985</v>
      </c>
      <c r="T229" s="304">
        <f t="shared" ca="1" si="88"/>
        <v>29.226932999999988</v>
      </c>
      <c r="U229" s="311">
        <f t="shared" ca="1" si="89"/>
        <v>0</v>
      </c>
      <c r="V229" s="306">
        <f t="shared" ca="1" si="90"/>
        <v>1.092128983625092</v>
      </c>
      <c r="W229" s="304">
        <f t="shared" ca="1" si="91"/>
        <v>18.892829328671944</v>
      </c>
      <c r="Y229" s="314" t="str">
        <f t="shared" ca="1" si="109"/>
        <v/>
      </c>
      <c r="Z229" s="315" t="str">
        <f t="shared" ca="1" si="110"/>
        <v/>
      </c>
      <c r="AA229" s="316" t="str">
        <f t="shared" ca="1" si="111"/>
        <v/>
      </c>
      <c r="AC229" s="310" t="e">
        <f t="shared" ca="1" si="112"/>
        <v>#N/A</v>
      </c>
      <c r="AD229" s="323" t="e">
        <f t="shared" ca="1" si="113"/>
        <v>#N/A</v>
      </c>
      <c r="AE229" s="324">
        <f t="shared" ca="1" si="92"/>
        <v>1146.8590424952042</v>
      </c>
      <c r="AG229" s="306">
        <f t="shared" ca="1" si="114"/>
        <v>-15.774661523670691</v>
      </c>
      <c r="AH229" s="304">
        <f t="shared" ca="1" si="115"/>
        <v>-6.5665413819594525</v>
      </c>
    </row>
    <row r="230" spans="1:34" x14ac:dyDescent="0.2">
      <c r="A230" s="347">
        <f t="shared" ca="1" si="93"/>
        <v>0.1</v>
      </c>
      <c r="B230" s="304">
        <f t="shared" ca="1" si="94"/>
        <v>9.1999999999999478</v>
      </c>
      <c r="D230" s="306">
        <f t="shared" ca="1" si="95"/>
        <v>-2.2089139782590506</v>
      </c>
      <c r="E230" s="307">
        <f t="shared" ca="1" si="96"/>
        <v>-15.754208238837819</v>
      </c>
      <c r="F230" s="304">
        <f t="shared" ca="1" si="97"/>
        <v>15.908311607333244</v>
      </c>
      <c r="G230" s="306">
        <f t="shared" ca="1" si="98"/>
        <v>31.795408420520463</v>
      </c>
      <c r="H230" s="307">
        <f t="shared" ca="1" si="99"/>
        <v>84.580742354235838</v>
      </c>
      <c r="I230" s="304">
        <f t="shared" ca="1" si="100"/>
        <v>90.359559393687448</v>
      </c>
      <c r="J230" s="306">
        <f t="shared" ca="1" si="101"/>
        <v>308.76387363558467</v>
      </c>
      <c r="K230" s="307">
        <f t="shared" ca="1" si="102"/>
        <v>1155.3958877718219</v>
      </c>
      <c r="L230" s="304">
        <f t="shared" ca="1" si="87"/>
        <v>1195.9409630673613</v>
      </c>
      <c r="M230" s="306">
        <f t="shared" ca="1" si="103"/>
        <v>1.2112212338637396</v>
      </c>
      <c r="N230" s="304">
        <f t="shared" ca="1" si="104"/>
        <v>69.397864757020344</v>
      </c>
      <c r="P230" s="310">
        <f t="shared" ca="1" si="105"/>
        <v>23</v>
      </c>
      <c r="Q230" s="304">
        <f t="shared" ca="1" si="106"/>
        <v>0</v>
      </c>
      <c r="R230" s="306">
        <f t="shared" ca="1" si="107"/>
        <v>0</v>
      </c>
      <c r="S230" s="307">
        <f t="shared" ca="1" si="108"/>
        <v>2.9792999999999985</v>
      </c>
      <c r="T230" s="304">
        <f t="shared" ca="1" si="88"/>
        <v>29.226932999999988</v>
      </c>
      <c r="U230" s="311">
        <f t="shared" ca="1" si="89"/>
        <v>0</v>
      </c>
      <c r="V230" s="306">
        <f t="shared" ca="1" si="90"/>
        <v>1.0911939516491314</v>
      </c>
      <c r="W230" s="304">
        <f t="shared" ca="1" si="91"/>
        <v>18.24412455839245</v>
      </c>
      <c r="Y230" s="314" t="str">
        <f t="shared" ca="1" si="109"/>
        <v/>
      </c>
      <c r="Z230" s="315" t="str">
        <f t="shared" ca="1" si="110"/>
        <v/>
      </c>
      <c r="AA230" s="316" t="str">
        <f t="shared" ca="1" si="111"/>
        <v/>
      </c>
      <c r="AC230" s="310" t="e">
        <f t="shared" ca="1" si="112"/>
        <v>#N/A</v>
      </c>
      <c r="AD230" s="323" t="e">
        <f t="shared" ca="1" si="113"/>
        <v>#N/A</v>
      </c>
      <c r="AE230" s="324">
        <f t="shared" ca="1" si="92"/>
        <v>1155.3958877718219</v>
      </c>
      <c r="AG230" s="306">
        <f t="shared" ca="1" si="114"/>
        <v>-15.536969142538496</v>
      </c>
      <c r="AH230" s="304">
        <f t="shared" ca="1" si="115"/>
        <v>-6.3413651960769153</v>
      </c>
    </row>
    <row r="231" spans="1:34" x14ac:dyDescent="0.2">
      <c r="A231" s="347">
        <f t="shared" ca="1" si="93"/>
        <v>0.1</v>
      </c>
      <c r="B231" s="304">
        <f t="shared" ca="1" si="94"/>
        <v>9.2999999999999474</v>
      </c>
      <c r="D231" s="306">
        <f t="shared" ca="1" si="95"/>
        <v>-2.1547609454035905</v>
      </c>
      <c r="E231" s="307">
        <f t="shared" ca="1" si="96"/>
        <v>-15.54199997772406</v>
      </c>
      <c r="F231" s="304">
        <f t="shared" ca="1" si="97"/>
        <v>15.690658304845316</v>
      </c>
      <c r="G231" s="306">
        <f t="shared" ca="1" si="98"/>
        <v>31.579932325980103</v>
      </c>
      <c r="H231" s="307">
        <f t="shared" ca="1" si="99"/>
        <v>83.026542356463437</v>
      </c>
      <c r="I231" s="304">
        <f t="shared" ca="1" si="100"/>
        <v>88.829605770728833</v>
      </c>
      <c r="J231" s="306">
        <f t="shared" ca="1" si="101"/>
        <v>311.93264067290971</v>
      </c>
      <c r="K231" s="307">
        <f t="shared" ca="1" si="102"/>
        <v>1163.7762520073568</v>
      </c>
      <c r="L231" s="304">
        <f t="shared" ca="1" si="87"/>
        <v>1204.8556498823689</v>
      </c>
      <c r="M231" s="306">
        <f t="shared" ca="1" si="103"/>
        <v>1.2073352350011997</v>
      </c>
      <c r="N231" s="304">
        <f t="shared" ca="1" si="104"/>
        <v>69.175213423004166</v>
      </c>
      <c r="P231" s="310">
        <f t="shared" ca="1" si="105"/>
        <v>23</v>
      </c>
      <c r="Q231" s="304">
        <f t="shared" ca="1" si="106"/>
        <v>0</v>
      </c>
      <c r="R231" s="306">
        <f t="shared" ca="1" si="107"/>
        <v>0</v>
      </c>
      <c r="S231" s="307">
        <f t="shared" ca="1" si="108"/>
        <v>2.9792999999999985</v>
      </c>
      <c r="T231" s="304">
        <f t="shared" ca="1" si="88"/>
        <v>29.226932999999988</v>
      </c>
      <c r="U231" s="311">
        <f t="shared" ca="1" si="89"/>
        <v>0</v>
      </c>
      <c r="V231" s="306">
        <f t="shared" ca="1" si="90"/>
        <v>1.0902767925975601</v>
      </c>
      <c r="W231" s="304">
        <f t="shared" ca="1" si="91"/>
        <v>17.616722230251355</v>
      </c>
      <c r="Y231" s="314" t="str">
        <f t="shared" ca="1" si="109"/>
        <v/>
      </c>
      <c r="Z231" s="315" t="str">
        <f t="shared" ca="1" si="110"/>
        <v/>
      </c>
      <c r="AA231" s="316" t="str">
        <f t="shared" ca="1" si="111"/>
        <v/>
      </c>
      <c r="AC231" s="310" t="e">
        <f t="shared" ca="1" si="112"/>
        <v>#N/A</v>
      </c>
      <c r="AD231" s="323" t="e">
        <f t="shared" ca="1" si="113"/>
        <v>#N/A</v>
      </c>
      <c r="AE231" s="324">
        <f t="shared" ca="1" si="92"/>
        <v>1163.7762520073568</v>
      </c>
      <c r="AG231" s="306">
        <f t="shared" ca="1" si="114"/>
        <v>-15.306243294826572</v>
      </c>
      <c r="AH231" s="304">
        <f t="shared" ca="1" si="115"/>
        <v>-6.123627885205404</v>
      </c>
    </row>
    <row r="232" spans="1:34" x14ac:dyDescent="0.2">
      <c r="A232" s="347">
        <f t="shared" ca="1" si="93"/>
        <v>0.1</v>
      </c>
      <c r="B232" s="304">
        <f t="shared" ca="1" si="94"/>
        <v>9.3999999999999471</v>
      </c>
      <c r="D232" s="306">
        <f t="shared" ca="1" si="95"/>
        <v>-2.1021530411805696</v>
      </c>
      <c r="E232" s="307">
        <f t="shared" ca="1" si="96"/>
        <v>-15.336753405033782</v>
      </c>
      <c r="F232" s="304">
        <f t="shared" ca="1" si="97"/>
        <v>15.480150271084581</v>
      </c>
      <c r="G232" s="306">
        <f t="shared" ca="1" si="98"/>
        <v>31.369717021862044</v>
      </c>
      <c r="H232" s="307">
        <f t="shared" ca="1" si="99"/>
        <v>81.492867015960059</v>
      </c>
      <c r="I232" s="304">
        <f t="shared" ca="1" si="100"/>
        <v>87.322084952849423</v>
      </c>
      <c r="J232" s="306">
        <f t="shared" ca="1" si="101"/>
        <v>315.08012314030179</v>
      </c>
      <c r="K232" s="307">
        <f t="shared" ca="1" si="102"/>
        <v>1172.002222475978</v>
      </c>
      <c r="L232" s="304">
        <f t="shared" ca="1" si="87"/>
        <v>1213.6163699813626</v>
      </c>
      <c r="M232" s="306">
        <f t="shared" ca="1" si="103"/>
        <v>1.2033413134916067</v>
      </c>
      <c r="N232" s="304">
        <f t="shared" ca="1" si="104"/>
        <v>68.946378576797969</v>
      </c>
      <c r="P232" s="310">
        <f t="shared" ca="1" si="105"/>
        <v>23</v>
      </c>
      <c r="Q232" s="304">
        <f t="shared" ca="1" si="106"/>
        <v>0</v>
      </c>
      <c r="R232" s="306">
        <f t="shared" ca="1" si="107"/>
        <v>0</v>
      </c>
      <c r="S232" s="307">
        <f t="shared" ca="1" si="108"/>
        <v>2.9792999999999985</v>
      </c>
      <c r="T232" s="304">
        <f t="shared" ca="1" si="88"/>
        <v>29.226932999999988</v>
      </c>
      <c r="U232" s="311">
        <f t="shared" ca="1" si="89"/>
        <v>0</v>
      </c>
      <c r="V232" s="306">
        <f t="shared" ca="1" si="90"/>
        <v>1.0893772367443884</v>
      </c>
      <c r="W232" s="304">
        <f t="shared" ca="1" si="91"/>
        <v>17.009805937779124</v>
      </c>
      <c r="Y232" s="314" t="str">
        <f t="shared" ca="1" si="109"/>
        <v/>
      </c>
      <c r="Z232" s="315" t="str">
        <f t="shared" ca="1" si="110"/>
        <v/>
      </c>
      <c r="AA232" s="316" t="str">
        <f t="shared" ca="1" si="111"/>
        <v/>
      </c>
      <c r="AC232" s="310" t="e">
        <f t="shared" ca="1" si="112"/>
        <v>#N/A</v>
      </c>
      <c r="AD232" s="323" t="e">
        <f t="shared" ca="1" si="113"/>
        <v>#N/A</v>
      </c>
      <c r="AE232" s="324">
        <f t="shared" ca="1" si="92"/>
        <v>1172.002222475978</v>
      </c>
      <c r="AG232" s="306">
        <f t="shared" ca="1" si="114"/>
        <v>-15.082172721006049</v>
      </c>
      <c r="AH232" s="304">
        <f t="shared" ca="1" si="115"/>
        <v>-5.9130407244155885</v>
      </c>
    </row>
    <row r="233" spans="1:34" x14ac:dyDescent="0.2">
      <c r="A233" s="347">
        <f t="shared" ca="1" si="93"/>
        <v>0.1</v>
      </c>
      <c r="B233" s="304">
        <f t="shared" ca="1" si="94"/>
        <v>9.4999999999999467</v>
      </c>
      <c r="D233" s="306">
        <f t="shared" ca="1" si="95"/>
        <v>-2.0510281766187974</v>
      </c>
      <c r="E233" s="307">
        <f t="shared" ca="1" si="96"/>
        <v>-15.138201281723306</v>
      </c>
      <c r="F233" s="304">
        <f t="shared" ca="1" si="97"/>
        <v>15.276513169805909</v>
      </c>
      <c r="G233" s="306">
        <f t="shared" ca="1" si="98"/>
        <v>31.164614204200163</v>
      </c>
      <c r="H233" s="307">
        <f t="shared" ca="1" si="99"/>
        <v>79.979046887787732</v>
      </c>
      <c r="I233" s="304">
        <f t="shared" ca="1" si="100"/>
        <v>85.836362455404554</v>
      </c>
      <c r="J233" s="306">
        <f t="shared" ca="1" si="101"/>
        <v>318.20683970160491</v>
      </c>
      <c r="K233" s="307">
        <f t="shared" ca="1" si="102"/>
        <v>1180.0758181711653</v>
      </c>
      <c r="L233" s="304">
        <f t="shared" ca="1" si="87"/>
        <v>1222.2252367977139</v>
      </c>
      <c r="M233" s="306">
        <f t="shared" ca="1" si="103"/>
        <v>1.1992356303730409</v>
      </c>
      <c r="N233" s="304">
        <f t="shared" ca="1" si="104"/>
        <v>68.711140262086047</v>
      </c>
      <c r="P233" s="310">
        <f t="shared" ca="1" si="105"/>
        <v>23</v>
      </c>
      <c r="Q233" s="304">
        <f t="shared" ca="1" si="106"/>
        <v>0</v>
      </c>
      <c r="R233" s="306">
        <f t="shared" ca="1" si="107"/>
        <v>0</v>
      </c>
      <c r="S233" s="307">
        <f t="shared" ca="1" si="108"/>
        <v>2.9792999999999985</v>
      </c>
      <c r="T233" s="304">
        <f t="shared" ca="1" si="88"/>
        <v>29.226932999999988</v>
      </c>
      <c r="U233" s="311">
        <f t="shared" ca="1" si="89"/>
        <v>0</v>
      </c>
      <c r="V233" s="306">
        <f t="shared" ca="1" si="90"/>
        <v>1.0884950233729147</v>
      </c>
      <c r="W233" s="304">
        <f t="shared" ca="1" si="91"/>
        <v>16.422600456912932</v>
      </c>
      <c r="Y233" s="314" t="str">
        <f t="shared" ca="1" si="109"/>
        <v/>
      </c>
      <c r="Z233" s="315" t="str">
        <f t="shared" ca="1" si="110"/>
        <v/>
      </c>
      <c r="AA233" s="316" t="str">
        <f t="shared" ca="1" si="111"/>
        <v/>
      </c>
      <c r="AC233" s="310" t="e">
        <f t="shared" ca="1" si="112"/>
        <v>#N/A</v>
      </c>
      <c r="AD233" s="323" t="e">
        <f t="shared" ca="1" si="113"/>
        <v>#N/A</v>
      </c>
      <c r="AE233" s="324">
        <f t="shared" ca="1" si="92"/>
        <v>1180.0758181711653</v>
      </c>
      <c r="AG233" s="306">
        <f t="shared" ca="1" si="114"/>
        <v>-14.864459524959566</v>
      </c>
      <c r="AH233" s="304">
        <f t="shared" ca="1" si="115"/>
        <v>-5.7093296874363553</v>
      </c>
    </row>
    <row r="234" spans="1:34" x14ac:dyDescent="0.2">
      <c r="A234" s="347">
        <f t="shared" ca="1" si="93"/>
        <v>0.1</v>
      </c>
      <c r="B234" s="304">
        <f t="shared" ca="1" si="94"/>
        <v>9.5999999999999464</v>
      </c>
      <c r="D234" s="306">
        <f t="shared" ca="1" si="95"/>
        <v>-2.0013273965637941</v>
      </c>
      <c r="E234" s="307">
        <f t="shared" ca="1" si="96"/>
        <v>-14.946089817727231</v>
      </c>
      <c r="F234" s="304">
        <f t="shared" ca="1" si="97"/>
        <v>15.07948646963173</v>
      </c>
      <c r="G234" s="306">
        <f t="shared" ca="1" si="98"/>
        <v>30.964481464543784</v>
      </c>
      <c r="H234" s="307">
        <f t="shared" ca="1" si="99"/>
        <v>78.484437906015003</v>
      </c>
      <c r="I234" s="304">
        <f t="shared" ca="1" si="100"/>
        <v>84.371832419304496</v>
      </c>
      <c r="J234" s="306">
        <f t="shared" ca="1" si="101"/>
        <v>321.31329448504209</v>
      </c>
      <c r="K234" s="307">
        <f t="shared" ca="1" si="102"/>
        <v>1187.9989924108554</v>
      </c>
      <c r="L234" s="304">
        <f t="shared" ca="1" si="87"/>
        <v>1230.6842971217432</v>
      </c>
      <c r="M234" s="306">
        <f t="shared" ca="1" si="103"/>
        <v>1.1950141646630086</v>
      </c>
      <c r="N234" s="304">
        <f t="shared" ca="1" si="104"/>
        <v>68.469268093541999</v>
      </c>
      <c r="P234" s="310">
        <f t="shared" ca="1" si="105"/>
        <v>23</v>
      </c>
      <c r="Q234" s="304">
        <f t="shared" ca="1" si="106"/>
        <v>0</v>
      </c>
      <c r="R234" s="306">
        <f t="shared" ca="1" si="107"/>
        <v>0</v>
      </c>
      <c r="S234" s="307">
        <f t="shared" ca="1" si="108"/>
        <v>2.9792999999999985</v>
      </c>
      <c r="T234" s="304">
        <f t="shared" ca="1" si="88"/>
        <v>29.226932999999988</v>
      </c>
      <c r="U234" s="311">
        <f t="shared" ca="1" si="89"/>
        <v>0</v>
      </c>
      <c r="V234" s="306">
        <f t="shared" ca="1" si="90"/>
        <v>1.0876299004238619</v>
      </c>
      <c r="W234" s="304">
        <f t="shared" ca="1" si="91"/>
        <v>15.854369318257037</v>
      </c>
      <c r="Y234" s="314" t="str">
        <f t="shared" ca="1" si="109"/>
        <v/>
      </c>
      <c r="Z234" s="315" t="str">
        <f t="shared" ca="1" si="110"/>
        <v/>
      </c>
      <c r="AA234" s="316" t="str">
        <f t="shared" ca="1" si="111"/>
        <v/>
      </c>
      <c r="AC234" s="310" t="e">
        <f t="shared" ca="1" si="112"/>
        <v>#N/A</v>
      </c>
      <c r="AD234" s="323" t="e">
        <f t="shared" ca="1" si="113"/>
        <v>#N/A</v>
      </c>
      <c r="AE234" s="324">
        <f t="shared" ca="1" si="92"/>
        <v>1187.9989924108554</v>
      </c>
      <c r="AG234" s="306">
        <f t="shared" ca="1" si="114"/>
        <v>-14.652818206092427</v>
      </c>
      <c r="AH234" s="304">
        <f t="shared" ca="1" si="115"/>
        <v>-5.5122345708431313</v>
      </c>
    </row>
    <row r="235" spans="1:34" x14ac:dyDescent="0.2">
      <c r="A235" s="347">
        <f t="shared" ca="1" si="93"/>
        <v>0.1</v>
      </c>
      <c r="B235" s="304">
        <f t="shared" ca="1" si="94"/>
        <v>9.699999999999946</v>
      </c>
      <c r="D235" s="306">
        <f t="shared" ca="1" si="95"/>
        <v>-1.952994698029181</v>
      </c>
      <c r="E235" s="307">
        <f t="shared" ca="1" si="96"/>
        <v>-14.760177876666926</v>
      </c>
      <c r="F235" s="304">
        <f t="shared" ca="1" si="97"/>
        <v>14.88882262777611</v>
      </c>
      <c r="G235" s="306">
        <f t="shared" ca="1" si="98"/>
        <v>30.769181994740865</v>
      </c>
      <c r="H235" s="307">
        <f t="shared" ca="1" si="99"/>
        <v>77.008420118348312</v>
      </c>
      <c r="I235" s="304">
        <f t="shared" ca="1" si="100"/>
        <v>82.927916468156354</v>
      </c>
      <c r="J235" s="306">
        <f t="shared" ca="1" si="101"/>
        <v>324.39997765800632</v>
      </c>
      <c r="K235" s="307">
        <f t="shared" ca="1" si="102"/>
        <v>1195.7736353120736</v>
      </c>
      <c r="L235" s="304">
        <f t="shared" ca="1" si="87"/>
        <v>1238.9955336529536</v>
      </c>
      <c r="M235" s="306">
        <f t="shared" ca="1" si="103"/>
        <v>1.1906727032246185</v>
      </c>
      <c r="N235" s="304">
        <f t="shared" ca="1" si="104"/>
        <v>68.220520676203449</v>
      </c>
      <c r="P235" s="310">
        <f t="shared" ca="1" si="105"/>
        <v>23</v>
      </c>
      <c r="Q235" s="304">
        <f t="shared" ca="1" si="106"/>
        <v>0</v>
      </c>
      <c r="R235" s="306">
        <f t="shared" ca="1" si="107"/>
        <v>0</v>
      </c>
      <c r="S235" s="307">
        <f t="shared" ca="1" si="108"/>
        <v>2.9792999999999985</v>
      </c>
      <c r="T235" s="304">
        <f t="shared" ca="1" si="88"/>
        <v>29.226932999999988</v>
      </c>
      <c r="U235" s="311">
        <f t="shared" ca="1" si="89"/>
        <v>0</v>
      </c>
      <c r="V235" s="306">
        <f t="shared" ca="1" si="90"/>
        <v>1.0867816241614412</v>
      </c>
      <c r="W235" s="304">
        <f t="shared" ca="1" si="91"/>
        <v>15.304412546613461</v>
      </c>
      <c r="Y235" s="314" t="str">
        <f t="shared" ca="1" si="109"/>
        <v/>
      </c>
      <c r="Z235" s="315" t="str">
        <f t="shared" ca="1" si="110"/>
        <v/>
      </c>
      <c r="AA235" s="316" t="str">
        <f t="shared" ca="1" si="111"/>
        <v/>
      </c>
      <c r="AC235" s="310" t="e">
        <f t="shared" ca="1" si="112"/>
        <v>#N/A</v>
      </c>
      <c r="AD235" s="323" t="e">
        <f t="shared" ca="1" si="113"/>
        <v>#N/A</v>
      </c>
      <c r="AE235" s="324">
        <f t="shared" ca="1" si="92"/>
        <v>1195.7736353120736</v>
      </c>
      <c r="AG235" s="306">
        <f t="shared" ca="1" si="114"/>
        <v>-14.446974745230108</v>
      </c>
      <c r="AH235" s="304">
        <f t="shared" ca="1" si="115"/>
        <v>-5.3215081791887506</v>
      </c>
    </row>
    <row r="236" spans="1:34" x14ac:dyDescent="0.2">
      <c r="A236" s="347">
        <f t="shared" ca="1" si="93"/>
        <v>0.1</v>
      </c>
      <c r="B236" s="304">
        <f t="shared" ca="1" si="94"/>
        <v>9.7999999999999456</v>
      </c>
      <c r="D236" s="306">
        <f t="shared" ca="1" si="95"/>
        <v>-1.905976861376145</v>
      </c>
      <c r="E236" s="307">
        <f t="shared" ca="1" si="96"/>
        <v>-14.580236235132688</v>
      </c>
      <c r="F236" s="304">
        <f t="shared" ca="1" si="97"/>
        <v>14.704286329787566</v>
      </c>
      <c r="G236" s="306">
        <f t="shared" ca="1" si="98"/>
        <v>30.578584308603251</v>
      </c>
      <c r="H236" s="307">
        <f t="shared" ca="1" si="99"/>
        <v>75.550396494835041</v>
      </c>
      <c r="I236" s="304">
        <f t="shared" ca="1" si="100"/>
        <v>81.504062652392605</v>
      </c>
      <c r="J236" s="306">
        <f t="shared" ca="1" si="101"/>
        <v>327.46736597317351</v>
      </c>
      <c r="K236" s="307">
        <f t="shared" ca="1" si="102"/>
        <v>1203.4015761427327</v>
      </c>
      <c r="L236" s="304">
        <f t="shared" ca="1" si="87"/>
        <v>1247.1608674265808</v>
      </c>
      <c r="M236" s="306">
        <f t="shared" ca="1" si="103"/>
        <v>1.1862068299993285</v>
      </c>
      <c r="N236" s="304">
        <f t="shared" ca="1" si="104"/>
        <v>67.964644988553843</v>
      </c>
      <c r="P236" s="310">
        <f t="shared" ca="1" si="105"/>
        <v>23</v>
      </c>
      <c r="Q236" s="304">
        <f t="shared" ca="1" si="106"/>
        <v>0</v>
      </c>
      <c r="R236" s="306">
        <f t="shared" ca="1" si="107"/>
        <v>0</v>
      </c>
      <c r="S236" s="307">
        <f t="shared" ca="1" si="108"/>
        <v>2.9792999999999985</v>
      </c>
      <c r="T236" s="304">
        <f t="shared" ca="1" si="88"/>
        <v>29.226932999999988</v>
      </c>
      <c r="U236" s="311">
        <f t="shared" ca="1" si="89"/>
        <v>0</v>
      </c>
      <c r="V236" s="306">
        <f t="shared" ca="1" si="90"/>
        <v>1.0859499588562693</v>
      </c>
      <c r="W236" s="304">
        <f t="shared" ca="1" si="91"/>
        <v>14.772064554744462</v>
      </c>
      <c r="Y236" s="314" t="str">
        <f t="shared" ca="1" si="109"/>
        <v/>
      </c>
      <c r="Z236" s="315" t="str">
        <f t="shared" ca="1" si="110"/>
        <v/>
      </c>
      <c r="AA236" s="316" t="str">
        <f t="shared" ca="1" si="111"/>
        <v/>
      </c>
      <c r="AC236" s="310" t="e">
        <f t="shared" ca="1" si="112"/>
        <v>#N/A</v>
      </c>
      <c r="AD236" s="323" t="e">
        <f t="shared" ca="1" si="113"/>
        <v>#N/A</v>
      </c>
      <c r="AE236" s="324">
        <f t="shared" ca="1" si="92"/>
        <v>1203.4015761427327</v>
      </c>
      <c r="AG236" s="306">
        <f t="shared" ca="1" si="114"/>
        <v>-14.246665738900802</v>
      </c>
      <c r="AH236" s="304">
        <f t="shared" ca="1" si="115"/>
        <v>-5.1369155662784776</v>
      </c>
    </row>
    <row r="237" spans="1:34" x14ac:dyDescent="0.2">
      <c r="A237" s="347">
        <f t="shared" ca="1" si="93"/>
        <v>0.1</v>
      </c>
      <c r="B237" s="304">
        <f t="shared" ca="1" si="94"/>
        <v>9.8999999999999453</v>
      </c>
      <c r="D237" s="306">
        <f t="shared" ca="1" si="95"/>
        <v>-1.8602232933480847</v>
      </c>
      <c r="E237" s="307">
        <f t="shared" ca="1" si="96"/>
        <v>-14.406046892263571</v>
      </c>
      <c r="F237" s="304">
        <f t="shared" ca="1" si="97"/>
        <v>14.525653780921935</v>
      </c>
      <c r="G237" s="306">
        <f t="shared" ca="1" si="98"/>
        <v>30.392561979268443</v>
      </c>
      <c r="H237" s="307">
        <f t="shared" ca="1" si="99"/>
        <v>74.10979180560868</v>
      </c>
      <c r="I237" s="304">
        <f t="shared" ca="1" si="100"/>
        <v>80.099744476086414</v>
      </c>
      <c r="J237" s="306">
        <f t="shared" ca="1" si="101"/>
        <v>330.51592328756709</v>
      </c>
      <c r="K237" s="307">
        <f t="shared" ca="1" si="102"/>
        <v>1210.8845855577549</v>
      </c>
      <c r="L237" s="304">
        <f t="shared" ca="1" si="87"/>
        <v>1255.1821601217923</v>
      </c>
      <c r="M237" s="306">
        <f t="shared" ca="1" si="103"/>
        <v>1.1816119145655117</v>
      </c>
      <c r="N237" s="304">
        <f t="shared" ca="1" si="104"/>
        <v>67.701375726976622</v>
      </c>
      <c r="P237" s="310">
        <f t="shared" ca="1" si="105"/>
        <v>23</v>
      </c>
      <c r="Q237" s="304">
        <f t="shared" ca="1" si="106"/>
        <v>0</v>
      </c>
      <c r="R237" s="306">
        <f t="shared" ca="1" si="107"/>
        <v>0</v>
      </c>
      <c r="S237" s="307">
        <f t="shared" ca="1" si="108"/>
        <v>2.9792999999999985</v>
      </c>
      <c r="T237" s="304">
        <f t="shared" ca="1" si="88"/>
        <v>29.226932999999988</v>
      </c>
      <c r="U237" s="311">
        <f t="shared" ca="1" si="89"/>
        <v>0</v>
      </c>
      <c r="V237" s="306">
        <f t="shared" ca="1" si="90"/>
        <v>1.0851346764841447</v>
      </c>
      <c r="W237" s="304">
        <f t="shared" ca="1" si="91"/>
        <v>14.256692179464032</v>
      </c>
      <c r="Y237" s="314" t="str">
        <f t="shared" ca="1" si="109"/>
        <v/>
      </c>
      <c r="Z237" s="315" t="str">
        <f t="shared" ca="1" si="110"/>
        <v/>
      </c>
      <c r="AA237" s="316" t="str">
        <f t="shared" ca="1" si="111"/>
        <v/>
      </c>
      <c r="AC237" s="310" t="e">
        <f t="shared" ca="1" si="112"/>
        <v>#N/A</v>
      </c>
      <c r="AD237" s="323" t="e">
        <f t="shared" ca="1" si="113"/>
        <v>#N/A</v>
      </c>
      <c r="AE237" s="324">
        <f t="shared" ca="1" si="92"/>
        <v>1210.8845855577549</v>
      </c>
      <c r="AG237" s="306">
        <f t="shared" ca="1" si="114"/>
        <v>-14.051637576971149</v>
      </c>
      <c r="AH237" s="304">
        <f t="shared" ca="1" si="115"/>
        <v>-4.9582333282128248</v>
      </c>
    </row>
    <row r="238" spans="1:34" x14ac:dyDescent="0.2">
      <c r="A238" s="347">
        <f t="shared" ca="1" si="93"/>
        <v>0.1</v>
      </c>
      <c r="B238" s="304">
        <f t="shared" ca="1" si="94"/>
        <v>9.9999999999999449</v>
      </c>
      <c r="D238" s="306">
        <f t="shared" ca="1" si="95"/>
        <v>-1.8156858810746705</v>
      </c>
      <c r="E238" s="307">
        <f t="shared" ca="1" si="96"/>
        <v>-14.237402425718964</v>
      </c>
      <c r="F238" s="304">
        <f t="shared" ca="1" si="97"/>
        <v>14.352712045136352</v>
      </c>
      <c r="G238" s="306">
        <f t="shared" ca="1" si="98"/>
        <v>30.210993391160976</v>
      </c>
      <c r="H238" s="307">
        <f t="shared" ca="1" si="99"/>
        <v>72.686051563036784</v>
      </c>
      <c r="I238" s="304">
        <f t="shared" ca="1" si="100"/>
        <v>78.714460002627305</v>
      </c>
      <c r="J238" s="306">
        <f t="shared" ca="1" si="101"/>
        <v>333.54610105608856</v>
      </c>
      <c r="K238" s="307">
        <f t="shared" ca="1" si="102"/>
        <v>1218.2243777261872</v>
      </c>
      <c r="L238" s="304">
        <f t="shared" ca="1" si="87"/>
        <v>1263.0612162583707</v>
      </c>
      <c r="M238" s="306">
        <f t="shared" ca="1" si="103"/>
        <v>1.1768830999798077</v>
      </c>
      <c r="N238" s="304">
        <f t="shared" ca="1" si="104"/>
        <v>67.430434609115878</v>
      </c>
      <c r="P238" s="310">
        <f t="shared" ca="1" si="105"/>
        <v>23</v>
      </c>
      <c r="Q238" s="304">
        <f t="shared" ca="1" si="106"/>
        <v>0</v>
      </c>
      <c r="R238" s="306">
        <f t="shared" ca="1" si="107"/>
        <v>0</v>
      </c>
      <c r="S238" s="307">
        <f t="shared" ca="1" si="108"/>
        <v>2.9792999999999985</v>
      </c>
      <c r="T238" s="304">
        <f t="shared" ca="1" si="88"/>
        <v>29.226932999999988</v>
      </c>
      <c r="U238" s="311">
        <f t="shared" ca="1" si="89"/>
        <v>0</v>
      </c>
      <c r="V238" s="306">
        <f t="shared" ca="1" si="90"/>
        <v>1.0843355564397608</v>
      </c>
      <c r="W238" s="304">
        <f t="shared" ca="1" si="91"/>
        <v>13.757692849182103</v>
      </c>
      <c r="Y238" s="314" t="str">
        <f t="shared" ca="1" si="109"/>
        <v/>
      </c>
      <c r="Z238" s="315" t="str">
        <f t="shared" ca="1" si="110"/>
        <v/>
      </c>
      <c r="AA238" s="316" t="str">
        <f t="shared" ca="1" si="111"/>
        <v/>
      </c>
      <c r="AC238" s="310">
        <f t="shared" ca="1" si="112"/>
        <v>9.9999999999999449</v>
      </c>
      <c r="AD238" s="323">
        <f t="shared" ca="1" si="113"/>
        <v>333.54610105608856</v>
      </c>
      <c r="AE238" s="324">
        <f t="shared" ca="1" si="92"/>
        <v>1218.2243777261872</v>
      </c>
      <c r="AG238" s="306">
        <f t="shared" ca="1" si="114"/>
        <v>-13.861645658927495</v>
      </c>
      <c r="AH238" s="304">
        <f t="shared" ca="1" si="115"/>
        <v>-4.7852489442030137</v>
      </c>
    </row>
    <row r="239" spans="1:34" x14ac:dyDescent="0.2">
      <c r="A239" s="347">
        <f t="shared" ca="1" si="93"/>
        <v>0.1</v>
      </c>
      <c r="B239" s="304">
        <f t="shared" ca="1" si="94"/>
        <v>10.099999999999945</v>
      </c>
      <c r="D239" s="306">
        <f t="shared" ca="1" si="95"/>
        <v>-1.7723188562386334</v>
      </c>
      <c r="E239" s="307">
        <f t="shared" ca="1" si="96"/>
        <v>-14.07410539047002</v>
      </c>
      <c r="F239" s="304">
        <f t="shared" ca="1" si="97"/>
        <v>14.185258428038466</v>
      </c>
      <c r="G239" s="306">
        <f t="shared" ca="1" si="98"/>
        <v>30.033761505537111</v>
      </c>
      <c r="H239" s="307">
        <f t="shared" ca="1" si="99"/>
        <v>71.278641023989778</v>
      </c>
      <c r="I239" s="304">
        <f t="shared" ca="1" si="100"/>
        <v>77.347731035876421</v>
      </c>
      <c r="J239" s="306">
        <f t="shared" ca="1" si="101"/>
        <v>336.55833880092348</v>
      </c>
      <c r="K239" s="307">
        <f t="shared" ca="1" si="102"/>
        <v>1225.4226123555386</v>
      </c>
      <c r="L239" s="304">
        <f t="shared" ca="1" si="87"/>
        <v>1270.7997852882688</v>
      </c>
      <c r="M239" s="306">
        <f t="shared" ca="1" si="103"/>
        <v>1.1720152898559477</v>
      </c>
      <c r="N239" s="304">
        <f t="shared" ca="1" si="104"/>
        <v>67.151529633547653</v>
      </c>
      <c r="P239" s="310">
        <f t="shared" ca="1" si="105"/>
        <v>23</v>
      </c>
      <c r="Q239" s="304">
        <f t="shared" ca="1" si="106"/>
        <v>0</v>
      </c>
      <c r="R239" s="306">
        <f t="shared" ca="1" si="107"/>
        <v>0</v>
      </c>
      <c r="S239" s="307">
        <f t="shared" ca="1" si="108"/>
        <v>2.9792999999999985</v>
      </c>
      <c r="T239" s="304">
        <f t="shared" ca="1" si="88"/>
        <v>29.226932999999988</v>
      </c>
      <c r="U239" s="311">
        <f t="shared" ca="1" si="89"/>
        <v>0</v>
      </c>
      <c r="V239" s="306">
        <f t="shared" ca="1" si="90"/>
        <v>1.0835523852644797</v>
      </c>
      <c r="W239" s="304">
        <f t="shared" ca="1" si="91"/>
        <v>13.274492872953724</v>
      </c>
      <c r="Y239" s="314" t="str">
        <f t="shared" ca="1" si="109"/>
        <v/>
      </c>
      <c r="Z239" s="315" t="str">
        <f t="shared" ca="1" si="110"/>
        <v/>
      </c>
      <c r="AA239" s="316" t="str">
        <f t="shared" ca="1" si="111"/>
        <v/>
      </c>
      <c r="AC239" s="310" t="e">
        <f t="shared" ca="1" si="112"/>
        <v>#N/A</v>
      </c>
      <c r="AD239" s="323" t="e">
        <f t="shared" ca="1" si="113"/>
        <v>#N/A</v>
      </c>
      <c r="AE239" s="324">
        <f t="shared" ca="1" si="92"/>
        <v>1225.4226123555386</v>
      </c>
      <c r="AG239" s="306">
        <f t="shared" ca="1" si="114"/>
        <v>-13.676453644377931</v>
      </c>
      <c r="AH239" s="304">
        <f t="shared" ca="1" si="115"/>
        <v>-4.6177601615084445</v>
      </c>
    </row>
    <row r="240" spans="1:34" x14ac:dyDescent="0.2">
      <c r="A240" s="347">
        <f t="shared" ca="1" si="93"/>
        <v>0.1</v>
      </c>
      <c r="B240" s="304">
        <f t="shared" ca="1" si="94"/>
        <v>10.199999999999944</v>
      </c>
      <c r="D240" s="306">
        <f t="shared" ca="1" si="95"/>
        <v>-1.7300786686701741</v>
      </c>
      <c r="E240" s="307">
        <f t="shared" ca="1" si="96"/>
        <v>-13.915967757141186</v>
      </c>
      <c r="F240" s="304">
        <f t="shared" ca="1" si="97"/>
        <v>14.023099900435019</v>
      </c>
      <c r="G240" s="306">
        <f t="shared" ca="1" si="98"/>
        <v>29.860753638670094</v>
      </c>
      <c r="H240" s="307">
        <f t="shared" ca="1" si="99"/>
        <v>69.887044248275657</v>
      </c>
      <c r="I240" s="304">
        <f t="shared" ca="1" si="100"/>
        <v>75.999102373842476</v>
      </c>
      <c r="J240" s="306">
        <f t="shared" ca="1" si="101"/>
        <v>339.55306455813383</v>
      </c>
      <c r="K240" s="307">
        <f t="shared" ca="1" si="102"/>
        <v>1232.480896619152</v>
      </c>
      <c r="L240" s="304">
        <f t="shared" ca="1" si="87"/>
        <v>1278.3995635879921</v>
      </c>
      <c r="M240" s="306">
        <f t="shared" ca="1" si="103"/>
        <v>1.1670031346334466</v>
      </c>
      <c r="N240" s="304">
        <f t="shared" ca="1" si="104"/>
        <v>66.864354293033884</v>
      </c>
      <c r="P240" s="310">
        <f t="shared" ca="1" si="105"/>
        <v>23</v>
      </c>
      <c r="Q240" s="304">
        <f t="shared" ca="1" si="106"/>
        <v>0</v>
      </c>
      <c r="R240" s="306">
        <f t="shared" ca="1" si="107"/>
        <v>0</v>
      </c>
      <c r="S240" s="307">
        <f t="shared" ca="1" si="108"/>
        <v>2.9792999999999985</v>
      </c>
      <c r="T240" s="304">
        <f t="shared" ca="1" si="88"/>
        <v>29.226932999999988</v>
      </c>
      <c r="U240" s="311">
        <f t="shared" ca="1" si="89"/>
        <v>0</v>
      </c>
      <c r="V240" s="306">
        <f t="shared" ca="1" si="90"/>
        <v>1.082784956387375</v>
      </c>
      <c r="W240" s="304">
        <f t="shared" ca="1" si="91"/>
        <v>12.806545841927381</v>
      </c>
      <c r="Y240" s="314" t="str">
        <f t="shared" ca="1" si="109"/>
        <v/>
      </c>
      <c r="Z240" s="315" t="str">
        <f t="shared" ca="1" si="110"/>
        <v/>
      </c>
      <c r="AA240" s="316" t="str">
        <f t="shared" ca="1" si="111"/>
        <v/>
      </c>
      <c r="AC240" s="310" t="e">
        <f t="shared" ca="1" si="112"/>
        <v>#N/A</v>
      </c>
      <c r="AD240" s="323" t="e">
        <f t="shared" ca="1" si="113"/>
        <v>#N/A</v>
      </c>
      <c r="AE240" s="324">
        <f t="shared" ca="1" si="92"/>
        <v>1232.480896619152</v>
      </c>
      <c r="AG240" s="306">
        <f t="shared" ca="1" si="114"/>
        <v>-13.495832733595735</v>
      </c>
      <c r="AH240" s="304">
        <f t="shared" ca="1" si="115"/>
        <v>-4.4555744211572286</v>
      </c>
    </row>
    <row r="241" spans="1:34" x14ac:dyDescent="0.2">
      <c r="A241" s="347">
        <f t="shared" ca="1" si="93"/>
        <v>0.1</v>
      </c>
      <c r="B241" s="304">
        <f t="shared" ca="1" si="94"/>
        <v>10.299999999999944</v>
      </c>
      <c r="D241" s="306">
        <f t="shared" ca="1" si="95"/>
        <v>-1.6889238686992709</v>
      </c>
      <c r="E241" s="307">
        <f t="shared" ca="1" si="96"/>
        <v>-13.762810386905283</v>
      </c>
      <c r="F241" s="304">
        <f t="shared" ca="1" si="97"/>
        <v>13.86605255940457</v>
      </c>
      <c r="G241" s="306">
        <f t="shared" ca="1" si="98"/>
        <v>29.691861251800166</v>
      </c>
      <c r="H241" s="307">
        <f t="shared" ca="1" si="99"/>
        <v>68.510763209585136</v>
      </c>
      <c r="I241" s="304">
        <f t="shared" ca="1" si="100"/>
        <v>74.66814113231959</v>
      </c>
      <c r="J241" s="306">
        <f t="shared" ca="1" si="101"/>
        <v>342.53069530265736</v>
      </c>
      <c r="K241" s="307">
        <f t="shared" ca="1" si="102"/>
        <v>1239.4007869920449</v>
      </c>
      <c r="L241" s="304">
        <f t="shared" ca="1" si="87"/>
        <v>1285.8621963573787</v>
      </c>
      <c r="M241" s="306">
        <f t="shared" ca="1" si="103"/>
        <v>1.1618410169863373</v>
      </c>
      <c r="N241" s="304">
        <f t="shared" ca="1" si="104"/>
        <v>66.568586738504521</v>
      </c>
      <c r="P241" s="310">
        <f t="shared" ca="1" si="105"/>
        <v>23</v>
      </c>
      <c r="Q241" s="304">
        <f t="shared" ca="1" si="106"/>
        <v>0</v>
      </c>
      <c r="R241" s="306">
        <f t="shared" ca="1" si="107"/>
        <v>0</v>
      </c>
      <c r="S241" s="307">
        <f t="shared" ca="1" si="108"/>
        <v>2.9792999999999985</v>
      </c>
      <c r="T241" s="304">
        <f t="shared" ca="1" si="88"/>
        <v>29.226932999999988</v>
      </c>
      <c r="U241" s="311">
        <f t="shared" ca="1" si="89"/>
        <v>0</v>
      </c>
      <c r="V241" s="306">
        <f t="shared" ca="1" si="90"/>
        <v>1.0820330698787783</v>
      </c>
      <c r="W241" s="304">
        <f t="shared" ca="1" si="91"/>
        <v>12.353331134848899</v>
      </c>
      <c r="Y241" s="314" t="str">
        <f t="shared" ca="1" si="109"/>
        <v/>
      </c>
      <c r="Z241" s="315" t="str">
        <f t="shared" ca="1" si="110"/>
        <v/>
      </c>
      <c r="AA241" s="316" t="str">
        <f t="shared" ca="1" si="111"/>
        <v/>
      </c>
      <c r="AC241" s="310" t="e">
        <f t="shared" ca="1" si="112"/>
        <v>#N/A</v>
      </c>
      <c r="AD241" s="323" t="e">
        <f t="shared" ca="1" si="113"/>
        <v>#N/A</v>
      </c>
      <c r="AE241" s="324">
        <f t="shared" ca="1" si="92"/>
        <v>1239.4007869920449</v>
      </c>
      <c r="AG241" s="306">
        <f t="shared" ca="1" si="114"/>
        <v>-13.319560974135698</v>
      </c>
      <c r="AH241" s="304">
        <f t="shared" ca="1" si="115"/>
        <v>-4.2985083213934105</v>
      </c>
    </row>
    <row r="242" spans="1:34" x14ac:dyDescent="0.2">
      <c r="A242" s="347">
        <f t="shared" ca="1" si="93"/>
        <v>0.1</v>
      </c>
      <c r="B242" s="304">
        <f t="shared" ca="1" si="94"/>
        <v>10.399999999999944</v>
      </c>
      <c r="D242" s="306">
        <f t="shared" ca="1" si="95"/>
        <v>-1.6488149976554158</v>
      </c>
      <c r="E242" s="307">
        <f t="shared" ca="1" si="96"/>
        <v>-13.614462540182934</v>
      </c>
      <c r="F242" s="304">
        <f t="shared" ca="1" si="97"/>
        <v>13.713941124072896</v>
      </c>
      <c r="G242" s="306">
        <f t="shared" ca="1" si="98"/>
        <v>29.526979752034624</v>
      </c>
      <c r="H242" s="307">
        <f t="shared" ca="1" si="99"/>
        <v>67.149316955566846</v>
      </c>
      <c r="I242" s="304">
        <f t="shared" ca="1" si="100"/>
        <v>73.354436136311762</v>
      </c>
      <c r="J242" s="306">
        <f t="shared" ca="1" si="101"/>
        <v>345.49163735284912</v>
      </c>
      <c r="K242" s="307">
        <f t="shared" ca="1" si="102"/>
        <v>1246.1837910003026</v>
      </c>
      <c r="L242" s="304">
        <f t="shared" ca="1" si="87"/>
        <v>1293.1892794299829</v>
      </c>
      <c r="M242" s="306">
        <f t="shared" ca="1" si="103"/>
        <v>1.1565230363199879</v>
      </c>
      <c r="N242" s="304">
        <f t="shared" ca="1" si="104"/>
        <v>66.263888890790525</v>
      </c>
      <c r="P242" s="310">
        <f t="shared" ca="1" si="105"/>
        <v>23</v>
      </c>
      <c r="Q242" s="304">
        <f t="shared" ca="1" si="106"/>
        <v>0</v>
      </c>
      <c r="R242" s="306">
        <f t="shared" ca="1" si="107"/>
        <v>0</v>
      </c>
      <c r="S242" s="307">
        <f t="shared" ca="1" si="108"/>
        <v>2.9792999999999985</v>
      </c>
      <c r="T242" s="304">
        <f t="shared" ca="1" si="88"/>
        <v>29.226932999999988</v>
      </c>
      <c r="U242" s="311">
        <f t="shared" ca="1" si="89"/>
        <v>0</v>
      </c>
      <c r="V242" s="306">
        <f t="shared" ca="1" si="90"/>
        <v>1.0812965322156338</v>
      </c>
      <c r="W242" s="304">
        <f t="shared" ca="1" si="91"/>
        <v>11.91435251997023</v>
      </c>
      <c r="Y242" s="314" t="str">
        <f t="shared" ca="1" si="109"/>
        <v/>
      </c>
      <c r="Z242" s="315" t="str">
        <f t="shared" ca="1" si="110"/>
        <v/>
      </c>
      <c r="AA242" s="316" t="str">
        <f t="shared" ca="1" si="111"/>
        <v/>
      </c>
      <c r="AC242" s="310" t="e">
        <f t="shared" ca="1" si="112"/>
        <v>#N/A</v>
      </c>
      <c r="AD242" s="323" t="e">
        <f t="shared" ca="1" si="113"/>
        <v>#N/A</v>
      </c>
      <c r="AE242" s="324">
        <f t="shared" ca="1" si="92"/>
        <v>1246.1837910003026</v>
      </c>
      <c r="AG242" s="306">
        <f t="shared" ca="1" si="114"/>
        <v>-13.147422589734092</v>
      </c>
      <c r="AH242" s="304">
        <f t="shared" ca="1" si="115"/>
        <v>-4.1463871160503825</v>
      </c>
    </row>
    <row r="243" spans="1:34" x14ac:dyDescent="0.2">
      <c r="A243" s="347">
        <f t="shared" ca="1" si="93"/>
        <v>0.1</v>
      </c>
      <c r="B243" s="304">
        <f t="shared" ca="1" si="94"/>
        <v>10.499999999999943</v>
      </c>
      <c r="D243" s="306">
        <f t="shared" ca="1" si="95"/>
        <v>-1.6097144859586239</v>
      </c>
      <c r="E243" s="307">
        <f t="shared" ca="1" si="96"/>
        <v>-13.470761416621174</v>
      </c>
      <c r="F243" s="304">
        <f t="shared" ca="1" si="97"/>
        <v>13.566598463499785</v>
      </c>
      <c r="G243" s="306">
        <f t="shared" ca="1" si="98"/>
        <v>29.366008303438761</v>
      </c>
      <c r="H243" s="307">
        <f t="shared" ca="1" si="99"/>
        <v>65.802240813904731</v>
      </c>
      <c r="I243" s="304">
        <f t="shared" ca="1" si="100"/>
        <v>72.057597377436508</v>
      </c>
      <c r="J243" s="306">
        <f t="shared" ca="1" si="101"/>
        <v>348.4362867556228</v>
      </c>
      <c r="K243" s="307">
        <f t="shared" ca="1" si="102"/>
        <v>1252.8313688887761</v>
      </c>
      <c r="L243" s="304">
        <f t="shared" ca="1" si="87"/>
        <v>1300.3823609999372</v>
      </c>
      <c r="M243" s="306">
        <f t="shared" ca="1" si="103"/>
        <v>1.1510429923020815</v>
      </c>
      <c r="N243" s="304">
        <f t="shared" ca="1" si="104"/>
        <v>65.949905497018577</v>
      </c>
      <c r="P243" s="310">
        <f t="shared" ca="1" si="105"/>
        <v>23</v>
      </c>
      <c r="Q243" s="304">
        <f t="shared" ca="1" si="106"/>
        <v>0</v>
      </c>
      <c r="R243" s="306">
        <f t="shared" ca="1" si="107"/>
        <v>0</v>
      </c>
      <c r="S243" s="307">
        <f t="shared" ca="1" si="108"/>
        <v>2.9792999999999985</v>
      </c>
      <c r="T243" s="304">
        <f t="shared" ca="1" si="88"/>
        <v>29.226932999999988</v>
      </c>
      <c r="U243" s="311">
        <f t="shared" ca="1" si="89"/>
        <v>0</v>
      </c>
      <c r="V243" s="306">
        <f t="shared" ca="1" si="90"/>
        <v>1.0805751560579957</v>
      </c>
      <c r="W243" s="304">
        <f t="shared" ca="1" si="91"/>
        <v>11.489136846340884</v>
      </c>
      <c r="Y243" s="314" t="str">
        <f t="shared" ca="1" si="109"/>
        <v/>
      </c>
      <c r="Z243" s="315" t="str">
        <f t="shared" ca="1" si="110"/>
        <v/>
      </c>
      <c r="AA243" s="316" t="str">
        <f t="shared" ca="1" si="111"/>
        <v/>
      </c>
      <c r="AC243" s="310" t="e">
        <f t="shared" ca="1" si="112"/>
        <v>#N/A</v>
      </c>
      <c r="AD243" s="323" t="e">
        <f t="shared" ca="1" si="113"/>
        <v>#N/A</v>
      </c>
      <c r="AE243" s="324">
        <f t="shared" ca="1" si="92"/>
        <v>1252.8313688887761</v>
      </c>
      <c r="AG243" s="306">
        <f t="shared" ca="1" si="114"/>
        <v>-12.979207327853418</v>
      </c>
      <c r="AH243" s="304">
        <f t="shared" ca="1" si="115"/>
        <v>-3.9990442452825281</v>
      </c>
    </row>
    <row r="244" spans="1:34" x14ac:dyDescent="0.2">
      <c r="A244" s="347">
        <f t="shared" ca="1" si="93"/>
        <v>0.1</v>
      </c>
      <c r="B244" s="304">
        <f t="shared" ca="1" si="94"/>
        <v>10.599999999999943</v>
      </c>
      <c r="D244" s="306">
        <f t="shared" ca="1" si="95"/>
        <v>-1.5715865582950246</v>
      </c>
      <c r="E244" s="307">
        <f t="shared" ca="1" si="96"/>
        <v>-13.331551724029008</v>
      </c>
      <c r="F244" s="304">
        <f t="shared" ca="1" si="97"/>
        <v>13.423865154294214</v>
      </c>
      <c r="G244" s="306">
        <f t="shared" ca="1" si="98"/>
        <v>29.208849647609259</v>
      </c>
      <c r="H244" s="307">
        <f t="shared" ca="1" si="99"/>
        <v>64.469085641501835</v>
      </c>
      <c r="I244" s="304">
        <f t="shared" ca="1" si="100"/>
        <v>70.777255535856582</v>
      </c>
      <c r="J244" s="306">
        <f t="shared" ca="1" si="101"/>
        <v>351.36502965317521</v>
      </c>
      <c r="K244" s="307">
        <f t="shared" ca="1" si="102"/>
        <v>1259.3449352115465</v>
      </c>
      <c r="L244" s="304">
        <f t="shared" ca="1" si="87"/>
        <v>1307.4429432698587</v>
      </c>
      <c r="M244" s="306">
        <f t="shared" ca="1" si="103"/>
        <v>1.1453943673721174</v>
      </c>
      <c r="N244" s="304">
        <f t="shared" ca="1" si="104"/>
        <v>65.626263128479252</v>
      </c>
      <c r="P244" s="310">
        <f t="shared" ca="1" si="105"/>
        <v>23</v>
      </c>
      <c r="Q244" s="304">
        <f t="shared" ca="1" si="106"/>
        <v>0</v>
      </c>
      <c r="R244" s="306">
        <f t="shared" ca="1" si="107"/>
        <v>0</v>
      </c>
      <c r="S244" s="307">
        <f t="shared" ca="1" si="108"/>
        <v>2.9792999999999985</v>
      </c>
      <c r="T244" s="304">
        <f t="shared" ca="1" si="88"/>
        <v>29.226932999999988</v>
      </c>
      <c r="U244" s="311">
        <f t="shared" ca="1" si="89"/>
        <v>0</v>
      </c>
      <c r="V244" s="306">
        <f t="shared" ca="1" si="90"/>
        <v>1.0798687600360635</v>
      </c>
      <c r="W244" s="304">
        <f t="shared" ca="1" si="91"/>
        <v>11.077232818032059</v>
      </c>
      <c r="Y244" s="314" t="str">
        <f t="shared" ca="1" si="109"/>
        <v/>
      </c>
      <c r="Z244" s="315" t="str">
        <f t="shared" ca="1" si="110"/>
        <v/>
      </c>
      <c r="AA244" s="316" t="str">
        <f t="shared" ca="1" si="111"/>
        <v/>
      </c>
      <c r="AC244" s="310" t="e">
        <f t="shared" ca="1" si="112"/>
        <v>#N/A</v>
      </c>
      <c r="AD244" s="323" t="e">
        <f t="shared" ca="1" si="113"/>
        <v>#N/A</v>
      </c>
      <c r="AE244" s="324">
        <f t="shared" ca="1" si="92"/>
        <v>1259.3449352115465</v>
      </c>
      <c r="AG244" s="306">
        <f t="shared" ca="1" si="114"/>
        <v>-12.814709822356535</v>
      </c>
      <c r="AH244" s="304">
        <f t="shared" ca="1" si="115"/>
        <v>-3.8563208962980866</v>
      </c>
    </row>
    <row r="245" spans="1:34" x14ac:dyDescent="0.2">
      <c r="A245" s="347">
        <f t="shared" ca="1" si="93"/>
        <v>0.1</v>
      </c>
      <c r="B245" s="304">
        <f t="shared" ca="1" si="94"/>
        <v>10.699999999999942</v>
      </c>
      <c r="D245" s="306">
        <f t="shared" ca="1" si="95"/>
        <v>-1.5343971454158123</v>
      </c>
      <c r="E245" s="307">
        <f t="shared" ca="1" si="96"/>
        <v>-13.196685274131795</v>
      </c>
      <c r="F245" s="304">
        <f t="shared" ca="1" si="97"/>
        <v>13.28558906576397</v>
      </c>
      <c r="G245" s="306">
        <f t="shared" ca="1" si="98"/>
        <v>29.055409933067679</v>
      </c>
      <c r="H245" s="307">
        <f t="shared" ca="1" si="99"/>
        <v>63.149417114088656</v>
      </c>
      <c r="I245" s="304">
        <f t="shared" ca="1" si="100"/>
        <v>69.513061565634999</v>
      </c>
      <c r="J245" s="306">
        <f t="shared" ca="1" si="101"/>
        <v>354.27824263220907</v>
      </c>
      <c r="K245" s="307">
        <f t="shared" ca="1" si="102"/>
        <v>1265.725860349326</v>
      </c>
      <c r="L245" s="304">
        <f t="shared" ca="1" si="87"/>
        <v>1314.3724840240714</v>
      </c>
      <c r="M245" s="306">
        <f t="shared" ca="1" si="103"/>
        <v>1.1395703081724131</v>
      </c>
      <c r="N245" s="304">
        <f t="shared" ca="1" si="104"/>
        <v>65.292569116701856</v>
      </c>
      <c r="P245" s="310">
        <f t="shared" ca="1" si="105"/>
        <v>23</v>
      </c>
      <c r="Q245" s="304">
        <f t="shared" ca="1" si="106"/>
        <v>0</v>
      </c>
      <c r="R245" s="306">
        <f t="shared" ca="1" si="107"/>
        <v>0</v>
      </c>
      <c r="S245" s="307">
        <f t="shared" ca="1" si="108"/>
        <v>2.9792999999999985</v>
      </c>
      <c r="T245" s="304">
        <f t="shared" ca="1" si="88"/>
        <v>29.226932999999988</v>
      </c>
      <c r="U245" s="311">
        <f t="shared" ca="1" si="89"/>
        <v>0</v>
      </c>
      <c r="V245" s="306">
        <f t="shared" ca="1" si="90"/>
        <v>1.0791771685471683</v>
      </c>
      <c r="W245" s="304">
        <f t="shared" ca="1" si="91"/>
        <v>10.67820984536346</v>
      </c>
      <c r="Y245" s="314" t="str">
        <f t="shared" ca="1" si="109"/>
        <v/>
      </c>
      <c r="Z245" s="315" t="str">
        <f t="shared" ca="1" si="110"/>
        <v/>
      </c>
      <c r="AA245" s="316" t="str">
        <f t="shared" ca="1" si="111"/>
        <v/>
      </c>
      <c r="AC245" s="310" t="e">
        <f t="shared" ca="1" si="112"/>
        <v>#N/A</v>
      </c>
      <c r="AD245" s="323" t="e">
        <f t="shared" ca="1" si="113"/>
        <v>#N/A</v>
      </c>
      <c r="AE245" s="324">
        <f t="shared" ca="1" si="92"/>
        <v>1265.725860349326</v>
      </c>
      <c r="AG245" s="306">
        <f t="shared" ca="1" si="114"/>
        <v>-12.653728967894221</v>
      </c>
      <c r="AH245" s="304">
        <f t="shared" ca="1" si="115"/>
        <v>-3.718065591928327</v>
      </c>
    </row>
    <row r="246" spans="1:34" x14ac:dyDescent="0.2">
      <c r="A246" s="347">
        <f t="shared" ca="1" si="93"/>
        <v>0.1</v>
      </c>
      <c r="B246" s="304">
        <f t="shared" ca="1" si="94"/>
        <v>10.799999999999942</v>
      </c>
      <c r="D246" s="306">
        <f t="shared" ca="1" si="95"/>
        <v>-1.498113802139907</v>
      </c>
      <c r="E246" s="307">
        <f t="shared" ca="1" si="96"/>
        <v>-13.066020603173016</v>
      </c>
      <c r="F246" s="304">
        <f t="shared" ca="1" si="97"/>
        <v>13.151624970576975</v>
      </c>
      <c r="G246" s="306">
        <f t="shared" ca="1" si="98"/>
        <v>28.905598552853689</v>
      </c>
      <c r="H246" s="307">
        <f t="shared" ca="1" si="99"/>
        <v>61.842815053771353</v>
      </c>
      <c r="I246" s="304">
        <f t="shared" ca="1" si="100"/>
        <v>68.264686342747567</v>
      </c>
      <c r="J246" s="306">
        <f t="shared" ca="1" si="101"/>
        <v>357.17629305650513</v>
      </c>
      <c r="K246" s="307">
        <f t="shared" ca="1" si="102"/>
        <v>1271.975471957719</v>
      </c>
      <c r="L246" s="304">
        <f t="shared" ca="1" si="87"/>
        <v>1321.1723981311632</v>
      </c>
      <c r="M246" s="306">
        <f t="shared" ca="1" si="103"/>
        <v>1.1335636058426757</v>
      </c>
      <c r="N246" s="304">
        <f t="shared" ca="1" si="104"/>
        <v>64.948410424416508</v>
      </c>
      <c r="P246" s="310">
        <f t="shared" ca="1" si="105"/>
        <v>23</v>
      </c>
      <c r="Q246" s="304">
        <f t="shared" ca="1" si="106"/>
        <v>0</v>
      </c>
      <c r="R246" s="306">
        <f t="shared" ca="1" si="107"/>
        <v>0</v>
      </c>
      <c r="S246" s="307">
        <f t="shared" ca="1" si="108"/>
        <v>2.9792999999999985</v>
      </c>
      <c r="T246" s="304">
        <f t="shared" ca="1" si="88"/>
        <v>29.226932999999988</v>
      </c>
      <c r="U246" s="311">
        <f t="shared" ca="1" si="89"/>
        <v>0</v>
      </c>
      <c r="V246" s="306">
        <f t="shared" ca="1" si="90"/>
        <v>1.0785002115621751</v>
      </c>
      <c r="W246" s="304">
        <f t="shared" ca="1" si="91"/>
        <v>10.291656967677065</v>
      </c>
      <c r="Y246" s="314" t="str">
        <f t="shared" ca="1" si="109"/>
        <v/>
      </c>
      <c r="Z246" s="315" t="str">
        <f t="shared" ca="1" si="110"/>
        <v/>
      </c>
      <c r="AA246" s="316" t="str">
        <f t="shared" ca="1" si="111"/>
        <v/>
      </c>
      <c r="AC246" s="310" t="e">
        <f t="shared" ca="1" si="112"/>
        <v>#N/A</v>
      </c>
      <c r="AD246" s="323" t="e">
        <f t="shared" ca="1" si="113"/>
        <v>#N/A</v>
      </c>
      <c r="AE246" s="324">
        <f t="shared" ca="1" si="92"/>
        <v>1271.975471957719</v>
      </c>
      <c r="AG246" s="306">
        <f t="shared" ca="1" si="114"/>
        <v>-12.496067302667015</v>
      </c>
      <c r="AH246" s="304">
        <f t="shared" ca="1" si="115"/>
        <v>-3.5841338050426157</v>
      </c>
    </row>
    <row r="247" spans="1:34" x14ac:dyDescent="0.2">
      <c r="A247" s="347">
        <f t="shared" ca="1" si="93"/>
        <v>0.1</v>
      </c>
      <c r="B247" s="304">
        <f t="shared" ca="1" si="94"/>
        <v>10.899999999999942</v>
      </c>
      <c r="D247" s="306">
        <f t="shared" ca="1" si="95"/>
        <v>-1.4627056311790434</v>
      </c>
      <c r="E247" s="307">
        <f t="shared" ca="1" si="96"/>
        <v>-12.939422615543283</v>
      </c>
      <c r="F247" s="304">
        <f t="shared" ca="1" si="97"/>
        <v>13.021834179066936</v>
      </c>
      <c r="G247" s="306">
        <f t="shared" ca="1" si="98"/>
        <v>28.759327989735784</v>
      </c>
      <c r="H247" s="307">
        <f t="shared" ca="1" si="99"/>
        <v>60.548872792217026</v>
      </c>
      <c r="I247" s="304">
        <f t="shared" ca="1" si="100"/>
        <v>67.031820375320848</v>
      </c>
      <c r="J247" s="306">
        <f t="shared" ca="1" si="101"/>
        <v>360.05953938363461</v>
      </c>
      <c r="K247" s="307">
        <f t="shared" ca="1" si="102"/>
        <v>1278.0950563500185</v>
      </c>
      <c r="L247" s="304">
        <f t="shared" ca="1" si="87"/>
        <v>1327.8440589796348</v>
      </c>
      <c r="M247" s="306">
        <f t="shared" ca="1" si="103"/>
        <v>1.1273666751199132</v>
      </c>
      <c r="N247" s="304">
        <f t="shared" ca="1" si="104"/>
        <v>64.59335244806725</v>
      </c>
      <c r="P247" s="310">
        <f t="shared" ca="1" si="105"/>
        <v>23</v>
      </c>
      <c r="Q247" s="304">
        <f t="shared" ca="1" si="106"/>
        <v>0</v>
      </c>
      <c r="R247" s="306">
        <f t="shared" ca="1" si="107"/>
        <v>0</v>
      </c>
      <c r="S247" s="307">
        <f t="shared" ca="1" si="108"/>
        <v>2.9792999999999985</v>
      </c>
      <c r="T247" s="304">
        <f t="shared" ca="1" si="88"/>
        <v>29.226932999999988</v>
      </c>
      <c r="U247" s="311">
        <f t="shared" ca="1" si="89"/>
        <v>0</v>
      </c>
      <c r="V247" s="306">
        <f t="shared" ca="1" si="90"/>
        <v>1.0778377244407948</v>
      </c>
      <c r="W247" s="304">
        <f t="shared" ca="1" si="91"/>
        <v>9.9171818426341094</v>
      </c>
      <c r="Y247" s="314" t="str">
        <f t="shared" ca="1" si="109"/>
        <v/>
      </c>
      <c r="Z247" s="315" t="str">
        <f t="shared" ca="1" si="110"/>
        <v/>
      </c>
      <c r="AA247" s="316" t="str">
        <f t="shared" ca="1" si="111"/>
        <v/>
      </c>
      <c r="AC247" s="310" t="e">
        <f t="shared" ca="1" si="112"/>
        <v>#N/A</v>
      </c>
      <c r="AD247" s="323" t="e">
        <f t="shared" ca="1" si="113"/>
        <v>#N/A</v>
      </c>
      <c r="AE247" s="324">
        <f t="shared" ca="1" si="92"/>
        <v>1278.0950563500185</v>
      </c>
      <c r="AG247" s="306">
        <f t="shared" ca="1" si="114"/>
        <v>-12.341530396279271</v>
      </c>
      <c r="AH247" s="304">
        <f t="shared" ca="1" si="115"/>
        <v>-3.4543875969781728</v>
      </c>
    </row>
    <row r="248" spans="1:34" x14ac:dyDescent="0.2">
      <c r="A248" s="347">
        <f t="shared" ca="1" si="93"/>
        <v>0.1</v>
      </c>
      <c r="B248" s="304">
        <f t="shared" ca="1" si="94"/>
        <v>10.999999999999941</v>
      </c>
      <c r="D248" s="306">
        <f t="shared" ca="1" si="95"/>
        <v>-1.4281432124393103</v>
      </c>
      <c r="E248" s="307">
        <f t="shared" ca="1" si="96"/>
        <v>-12.81676224875345</v>
      </c>
      <c r="F248" s="304">
        <f t="shared" ca="1" si="97"/>
        <v>12.8960841954567</v>
      </c>
      <c r="G248" s="306">
        <f t="shared" ca="1" si="98"/>
        <v>28.616513668491852</v>
      </c>
      <c r="H248" s="307">
        <f t="shared" ca="1" si="99"/>
        <v>59.267196567341678</v>
      </c>
      <c r="I248" s="304">
        <f t="shared" ca="1" si="100"/>
        <v>65.814173575992712</v>
      </c>
      <c r="J248" s="306">
        <f t="shared" ca="1" si="101"/>
        <v>362.92833146654601</v>
      </c>
      <c r="K248" s="307">
        <f t="shared" ca="1" si="102"/>
        <v>1284.0858598179964</v>
      </c>
      <c r="L248" s="304">
        <f t="shared" ca="1" si="87"/>
        <v>1334.3887998501839</v>
      </c>
      <c r="M248" s="306">
        <f t="shared" ca="1" si="103"/>
        <v>1.1209715321859581</v>
      </c>
      <c r="N248" s="304">
        <f t="shared" ca="1" si="104"/>
        <v>64.226937748568716</v>
      </c>
      <c r="P248" s="310">
        <f t="shared" ca="1" si="105"/>
        <v>23</v>
      </c>
      <c r="Q248" s="304">
        <f t="shared" ca="1" si="106"/>
        <v>0</v>
      </c>
      <c r="R248" s="306">
        <f t="shared" ca="1" si="107"/>
        <v>0</v>
      </c>
      <c r="S248" s="307">
        <f t="shared" ca="1" si="108"/>
        <v>2.9792999999999985</v>
      </c>
      <c r="T248" s="304">
        <f t="shared" ca="1" si="88"/>
        <v>29.226932999999988</v>
      </c>
      <c r="U248" s="311">
        <f t="shared" ca="1" si="89"/>
        <v>0</v>
      </c>
      <c r="V248" s="306">
        <f t="shared" ca="1" si="90"/>
        <v>1.0771895477553299</v>
      </c>
      <c r="W248" s="304">
        <f t="shared" ca="1" si="91"/>
        <v>9.554409797405631</v>
      </c>
      <c r="Y248" s="314" t="str">
        <f t="shared" ca="1" si="109"/>
        <v/>
      </c>
      <c r="Z248" s="315" t="str">
        <f t="shared" ca="1" si="110"/>
        <v/>
      </c>
      <c r="AA248" s="316" t="str">
        <f t="shared" ca="1" si="111"/>
        <v/>
      </c>
      <c r="AC248" s="310">
        <f t="shared" ca="1" si="112"/>
        <v>10.999999999999941</v>
      </c>
      <c r="AD248" s="323">
        <f t="shared" ca="1" si="113"/>
        <v>362.92833146654601</v>
      </c>
      <c r="AE248" s="324">
        <f t="shared" ca="1" si="92"/>
        <v>1284.0858598179964</v>
      </c>
      <c r="AG248" s="306">
        <f t="shared" ca="1" si="114"/>
        <v>-12.189926239442487</v>
      </c>
      <c r="AH248" s="304">
        <f t="shared" ca="1" si="115"/>
        <v>-3.3286952782982966</v>
      </c>
    </row>
    <row r="249" spans="1:34" x14ac:dyDescent="0.2">
      <c r="A249" s="347">
        <f t="shared" ca="1" si="93"/>
        <v>0.1</v>
      </c>
      <c r="B249" s="304">
        <f t="shared" ca="1" si="94"/>
        <v>11.099999999999941</v>
      </c>
      <c r="D249" s="306">
        <f t="shared" ca="1" si="95"/>
        <v>-1.3943985374857928</v>
      </c>
      <c r="E249" s="307">
        <f t="shared" ca="1" si="96"/>
        <v>-12.697916158192852</v>
      </c>
      <c r="F249" s="304">
        <f t="shared" ca="1" si="97"/>
        <v>12.77424839440026</v>
      </c>
      <c r="G249" s="306">
        <f t="shared" ca="1" si="98"/>
        <v>28.477073814743271</v>
      </c>
      <c r="H249" s="307">
        <f t="shared" ca="1" si="99"/>
        <v>57.997404951522391</v>
      </c>
      <c r="I249" s="304">
        <f t="shared" ca="1" si="100"/>
        <v>64.611475096620495</v>
      </c>
      <c r="J249" s="306">
        <f t="shared" ca="1" si="101"/>
        <v>365.78301084070779</v>
      </c>
      <c r="K249" s="307">
        <f t="shared" ca="1" si="102"/>
        <v>1289.9490898939396</v>
      </c>
      <c r="L249" s="304">
        <f t="shared" ca="1" si="87"/>
        <v>1340.8079152279406</v>
      </c>
      <c r="M249" s="306">
        <f t="shared" ca="1" si="103"/>
        <v>1.1143697712064085</v>
      </c>
      <c r="N249" s="304">
        <f t="shared" ca="1" si="104"/>
        <v>63.84868470708637</v>
      </c>
      <c r="P249" s="310">
        <f t="shared" ca="1" si="105"/>
        <v>23</v>
      </c>
      <c r="Q249" s="304">
        <f t="shared" ca="1" si="106"/>
        <v>0</v>
      </c>
      <c r="R249" s="306">
        <f t="shared" ca="1" si="107"/>
        <v>0</v>
      </c>
      <c r="S249" s="307">
        <f t="shared" ca="1" si="108"/>
        <v>2.9792999999999985</v>
      </c>
      <c r="T249" s="304">
        <f t="shared" ca="1" si="88"/>
        <v>29.226932999999988</v>
      </c>
      <c r="U249" s="311">
        <f t="shared" ca="1" si="89"/>
        <v>0</v>
      </c>
      <c r="V249" s="306">
        <f t="shared" ca="1" si="90"/>
        <v>1.0765555271224045</v>
      </c>
      <c r="W249" s="304">
        <f t="shared" ca="1" si="91"/>
        <v>9.2029829374869507</v>
      </c>
      <c r="Y249" s="314" t="str">
        <f t="shared" ca="1" si="109"/>
        <v/>
      </c>
      <c r="Z249" s="315" t="str">
        <f t="shared" ca="1" si="110"/>
        <v/>
      </c>
      <c r="AA249" s="316" t="str">
        <f t="shared" ca="1" si="111"/>
        <v/>
      </c>
      <c r="AC249" s="310" t="e">
        <f t="shared" ca="1" si="112"/>
        <v>#N/A</v>
      </c>
      <c r="AD249" s="323" t="e">
        <f t="shared" ca="1" si="113"/>
        <v>#N/A</v>
      </c>
      <c r="AE249" s="324">
        <f t="shared" ca="1" si="92"/>
        <v>1289.9490898939396</v>
      </c>
      <c r="AG249" s="306">
        <f t="shared" ca="1" si="114"/>
        <v>-12.041064632308935</v>
      </c>
      <c r="AH249" s="304">
        <f t="shared" ca="1" si="115"/>
        <v>-3.206931090325122</v>
      </c>
    </row>
    <row r="250" spans="1:34" x14ac:dyDescent="0.2">
      <c r="A250" s="347">
        <f t="shared" ca="1" si="93"/>
        <v>0.1</v>
      </c>
      <c r="B250" s="304">
        <f t="shared" ca="1" si="94"/>
        <v>11.199999999999941</v>
      </c>
      <c r="D250" s="306">
        <f t="shared" ca="1" si="95"/>
        <v>-1.3614449488871991</v>
      </c>
      <c r="E250" s="307">
        <f t="shared" ca="1" si="96"/>
        <v>-12.582766420225942</v>
      </c>
      <c r="F250" s="304">
        <f t="shared" ca="1" si="97"/>
        <v>12.656205716359704</v>
      </c>
      <c r="G250" s="306">
        <f t="shared" ca="1" si="98"/>
        <v>28.340929319854553</v>
      </c>
      <c r="H250" s="307">
        <f t="shared" ca="1" si="99"/>
        <v>56.739128309499797</v>
      </c>
      <c r="I250" s="304">
        <f t="shared" ca="1" si="100"/>
        <v>63.423473225887534</v>
      </c>
      <c r="J250" s="306">
        <f t="shared" ca="1" si="101"/>
        <v>368.62391099743769</v>
      </c>
      <c r="K250" s="307">
        <f t="shared" ca="1" si="102"/>
        <v>1295.6859165569906</v>
      </c>
      <c r="L250" s="304">
        <f t="shared" ca="1" si="87"/>
        <v>1347.1026620577868</v>
      </c>
      <c r="M250" s="306">
        <f t="shared" ca="1" si="103"/>
        <v>1.1075525395076233</v>
      </c>
      <c r="N250" s="304">
        <f t="shared" ca="1" si="104"/>
        <v>63.458086102783184</v>
      </c>
      <c r="P250" s="310">
        <f t="shared" ca="1" si="105"/>
        <v>23</v>
      </c>
      <c r="Q250" s="304">
        <f t="shared" ca="1" si="106"/>
        <v>0</v>
      </c>
      <c r="R250" s="306">
        <f t="shared" ca="1" si="107"/>
        <v>0</v>
      </c>
      <c r="S250" s="307">
        <f t="shared" ca="1" si="108"/>
        <v>2.9792999999999985</v>
      </c>
      <c r="T250" s="304">
        <f t="shared" ca="1" si="88"/>
        <v>29.226932999999988</v>
      </c>
      <c r="U250" s="311">
        <f t="shared" ca="1" si="89"/>
        <v>0</v>
      </c>
      <c r="V250" s="306">
        <f t="shared" ca="1" si="90"/>
        <v>1.0759355130422652</v>
      </c>
      <c r="W250" s="304">
        <f t="shared" ca="1" si="91"/>
        <v>8.8625593091952499</v>
      </c>
      <c r="Y250" s="314" t="str">
        <f t="shared" ca="1" si="109"/>
        <v/>
      </c>
      <c r="Z250" s="315" t="str">
        <f t="shared" ca="1" si="110"/>
        <v/>
      </c>
      <c r="AA250" s="316" t="str">
        <f t="shared" ca="1" si="111"/>
        <v/>
      </c>
      <c r="AC250" s="310" t="e">
        <f t="shared" ca="1" si="112"/>
        <v>#N/A</v>
      </c>
      <c r="AD250" s="323" t="e">
        <f t="shared" ca="1" si="113"/>
        <v>#N/A</v>
      </c>
      <c r="AE250" s="324">
        <f t="shared" ca="1" si="92"/>
        <v>1295.6859165569906</v>
      </c>
      <c r="AG250" s="306">
        <f t="shared" ca="1" si="114"/>
        <v>-11.894756568228084</v>
      </c>
      <c r="AH250" s="304">
        <f t="shared" ca="1" si="115"/>
        <v>-3.0889749060138136</v>
      </c>
    </row>
    <row r="251" spans="1:34" x14ac:dyDescent="0.2">
      <c r="A251" s="347">
        <f t="shared" ca="1" si="93"/>
        <v>0.1</v>
      </c>
      <c r="B251" s="304">
        <f t="shared" ca="1" si="94"/>
        <v>11.29999999999994</v>
      </c>
      <c r="D251" s="306">
        <f t="shared" ca="1" si="95"/>
        <v>-1.3292570841854268</v>
      </c>
      <c r="E251" s="307">
        <f t="shared" ca="1" si="96"/>
        <v>-12.471200252282184</v>
      </c>
      <c r="F251" s="304">
        <f t="shared" ca="1" si="97"/>
        <v>12.541840380437806</v>
      </c>
      <c r="G251" s="306">
        <f t="shared" ca="1" si="98"/>
        <v>28.208003611436009</v>
      </c>
      <c r="H251" s="307">
        <f t="shared" ca="1" si="99"/>
        <v>55.492008284271577</v>
      </c>
      <c r="I251" s="304">
        <f t="shared" ca="1" si="100"/>
        <v>62.249935350684922</v>
      </c>
      <c r="J251" s="306">
        <f t="shared" ca="1" si="101"/>
        <v>371.4513576440022</v>
      </c>
      <c r="K251" s="307">
        <f t="shared" ca="1" si="102"/>
        <v>1301.2974733866793</v>
      </c>
      <c r="L251" s="304">
        <f t="shared" ca="1" si="87"/>
        <v>1353.2742609456989</v>
      </c>
      <c r="M251" s="306">
        <f t="shared" ca="1" si="103"/>
        <v>1.1005105113428897</v>
      </c>
      <c r="N251" s="304">
        <f t="shared" ca="1" si="104"/>
        <v>63.05460760973169</v>
      </c>
      <c r="P251" s="310">
        <f t="shared" ca="1" si="105"/>
        <v>23</v>
      </c>
      <c r="Q251" s="304">
        <f t="shared" ca="1" si="106"/>
        <v>0</v>
      </c>
      <c r="R251" s="306">
        <f t="shared" ca="1" si="107"/>
        <v>0</v>
      </c>
      <c r="S251" s="307">
        <f t="shared" ca="1" si="108"/>
        <v>2.9792999999999985</v>
      </c>
      <c r="T251" s="304">
        <f t="shared" ca="1" si="88"/>
        <v>29.226932999999988</v>
      </c>
      <c r="U251" s="311">
        <f t="shared" ca="1" si="89"/>
        <v>0</v>
      </c>
      <c r="V251" s="306">
        <f t="shared" ca="1" si="90"/>
        <v>1.0753293607452505</v>
      </c>
      <c r="W251" s="304">
        <f t="shared" ca="1" si="91"/>
        <v>8.5328121122101308</v>
      </c>
      <c r="Y251" s="314" t="str">
        <f t="shared" ca="1" si="109"/>
        <v/>
      </c>
      <c r="Z251" s="315" t="str">
        <f t="shared" ca="1" si="110"/>
        <v/>
      </c>
      <c r="AA251" s="316" t="str">
        <f t="shared" ca="1" si="111"/>
        <v/>
      </c>
      <c r="AC251" s="310" t="e">
        <f t="shared" ca="1" si="112"/>
        <v>#N/A</v>
      </c>
      <c r="AD251" s="323" t="e">
        <f t="shared" ca="1" si="113"/>
        <v>#N/A</v>
      </c>
      <c r="AE251" s="324">
        <f t="shared" ca="1" si="92"/>
        <v>1301.2974733866793</v>
      </c>
      <c r="AG251" s="306">
        <f t="shared" ca="1" si="114"/>
        <v>-11.750813609720772</v>
      </c>
      <c r="AH251" s="304">
        <f t="shared" ca="1" si="115"/>
        <v>-2.9747119488454516</v>
      </c>
    </row>
    <row r="252" spans="1:34" x14ac:dyDescent="0.2">
      <c r="A252" s="347">
        <f t="shared" ca="1" si="93"/>
        <v>0.1</v>
      </c>
      <c r="B252" s="304">
        <f t="shared" ca="1" si="94"/>
        <v>11.39999999999994</v>
      </c>
      <c r="D252" s="306">
        <f t="shared" ca="1" si="95"/>
        <v>-1.2978108242610971</v>
      </c>
      <c r="E252" s="307">
        <f t="shared" ca="1" si="96"/>
        <v>-12.363109748685538</v>
      </c>
      <c r="F252" s="304">
        <f t="shared" ca="1" si="97"/>
        <v>12.431041613381103</v>
      </c>
      <c r="G252" s="306">
        <f t="shared" ca="1" si="98"/>
        <v>28.078222529009899</v>
      </c>
      <c r="H252" s="307">
        <f t="shared" ca="1" si="99"/>
        <v>54.255697309403025</v>
      </c>
      <c r="I252" s="304">
        <f t="shared" ca="1" si="100"/>
        <v>61.090647982470784</v>
      </c>
      <c r="J252" s="306">
        <f t="shared" ca="1" si="101"/>
        <v>374.26566895102451</v>
      </c>
      <c r="K252" s="307">
        <f t="shared" ca="1" si="102"/>
        <v>1306.7848586663629</v>
      </c>
      <c r="L252" s="304">
        <f t="shared" ca="1" si="87"/>
        <v>1359.3238973088878</v>
      </c>
      <c r="M252" s="306">
        <f t="shared" ca="1" si="103"/>
        <v>1.0932338602053902</v>
      </c>
      <c r="N252" s="304">
        <f t="shared" ca="1" si="104"/>
        <v>62.637686210563899</v>
      </c>
      <c r="P252" s="310">
        <f t="shared" ca="1" si="105"/>
        <v>23</v>
      </c>
      <c r="Q252" s="304">
        <f t="shared" ca="1" si="106"/>
        <v>0</v>
      </c>
      <c r="R252" s="306">
        <f t="shared" ca="1" si="107"/>
        <v>0</v>
      </c>
      <c r="S252" s="307">
        <f t="shared" ca="1" si="108"/>
        <v>2.9792999999999985</v>
      </c>
      <c r="T252" s="304">
        <f t="shared" ca="1" si="88"/>
        <v>29.226932999999988</v>
      </c>
      <c r="U252" s="311">
        <f t="shared" ca="1" si="89"/>
        <v>0</v>
      </c>
      <c r="V252" s="306">
        <f t="shared" ca="1" si="90"/>
        <v>1.0747369300450622</v>
      </c>
      <c r="W252" s="304">
        <f t="shared" ca="1" si="91"/>
        <v>8.2134289587922176</v>
      </c>
      <c r="Y252" s="314" t="str">
        <f t="shared" ca="1" si="109"/>
        <v/>
      </c>
      <c r="Z252" s="315" t="str">
        <f t="shared" ca="1" si="110"/>
        <v/>
      </c>
      <c r="AA252" s="316" t="str">
        <f t="shared" ca="1" si="111"/>
        <v/>
      </c>
      <c r="AC252" s="310" t="e">
        <f t="shared" ca="1" si="112"/>
        <v>#N/A</v>
      </c>
      <c r="AD252" s="323" t="e">
        <f t="shared" ca="1" si="113"/>
        <v>#N/A</v>
      </c>
      <c r="AE252" s="324">
        <f t="shared" ca="1" si="92"/>
        <v>1306.7848586663629</v>
      </c>
      <c r="AG252" s="306">
        <f t="shared" ca="1" si="114"/>
        <v>-11.609047253463261</v>
      </c>
      <c r="AH252" s="304">
        <f t="shared" ca="1" si="115"/>
        <v>-2.8640325285168111</v>
      </c>
    </row>
    <row r="253" spans="1:34" x14ac:dyDescent="0.2">
      <c r="A253" s="347">
        <f t="shared" ca="1" si="93"/>
        <v>0.1</v>
      </c>
      <c r="B253" s="304">
        <f t="shared" ca="1" si="94"/>
        <v>11.49999999999994</v>
      </c>
      <c r="D253" s="306">
        <f t="shared" ca="1" si="95"/>
        <v>-1.2670832458904679</v>
      </c>
      <c r="E253" s="307">
        <f t="shared" ca="1" si="96"/>
        <v>-12.258391631052199</v>
      </c>
      <c r="F253" s="304">
        <f t="shared" ca="1" si="97"/>
        <v>12.323703393552886</v>
      </c>
      <c r="G253" s="306">
        <f t="shared" ca="1" si="98"/>
        <v>27.951514204420853</v>
      </c>
      <c r="H253" s="307">
        <f t="shared" ca="1" si="99"/>
        <v>53.029858146297805</v>
      </c>
      <c r="I253" s="304">
        <f t="shared" ca="1" si="100"/>
        <v>59.945416850134656</v>
      </c>
      <c r="J253" s="306">
        <f t="shared" ca="1" si="101"/>
        <v>377.06715578769604</v>
      </c>
      <c r="K253" s="307">
        <f t="shared" ca="1" si="102"/>
        <v>1312.1491364391479</v>
      </c>
      <c r="L253" s="304">
        <f t="shared" ca="1" si="87"/>
        <v>1365.252722477353</v>
      </c>
      <c r="M253" s="306">
        <f t="shared" ca="1" si="103"/>
        <v>1.0857122296546675</v>
      </c>
      <c r="N253" s="304">
        <f t="shared" ca="1" si="104"/>
        <v>62.206728524950826</v>
      </c>
      <c r="P253" s="310">
        <f t="shared" ca="1" si="105"/>
        <v>23</v>
      </c>
      <c r="Q253" s="304">
        <f t="shared" ca="1" si="106"/>
        <v>0</v>
      </c>
      <c r="R253" s="306">
        <f t="shared" ca="1" si="107"/>
        <v>0</v>
      </c>
      <c r="S253" s="307">
        <f t="shared" ca="1" si="108"/>
        <v>2.9792999999999985</v>
      </c>
      <c r="T253" s="304">
        <f t="shared" ca="1" si="88"/>
        <v>29.226932999999988</v>
      </c>
      <c r="U253" s="311">
        <f t="shared" ca="1" si="89"/>
        <v>0</v>
      </c>
      <c r="V253" s="306">
        <f t="shared" ca="1" si="90"/>
        <v>1.0741580851984862</v>
      </c>
      <c r="W253" s="304">
        <f t="shared" ca="1" si="91"/>
        <v>7.9041111765667651</v>
      </c>
      <c r="Y253" s="314" t="str">
        <f t="shared" ca="1" si="109"/>
        <v/>
      </c>
      <c r="Z253" s="315" t="str">
        <f t="shared" ca="1" si="110"/>
        <v/>
      </c>
      <c r="AA253" s="316" t="str">
        <f t="shared" ca="1" si="111"/>
        <v/>
      </c>
      <c r="AC253" s="310" t="e">
        <f t="shared" ca="1" si="112"/>
        <v>#N/A</v>
      </c>
      <c r="AD253" s="323" t="e">
        <f t="shared" ca="1" si="113"/>
        <v>#N/A</v>
      </c>
      <c r="AE253" s="324">
        <f t="shared" ca="1" si="92"/>
        <v>1312.1491364391479</v>
      </c>
      <c r="AG253" s="306">
        <f t="shared" ca="1" si="114"/>
        <v>-11.469268281070242</v>
      </c>
      <c r="AH253" s="304">
        <f t="shared" ca="1" si="115"/>
        <v>-2.7568317922975938</v>
      </c>
    </row>
    <row r="254" spans="1:34" x14ac:dyDescent="0.2">
      <c r="A254" s="347">
        <f t="shared" ca="1" si="93"/>
        <v>0.1</v>
      </c>
      <c r="B254" s="304">
        <f t="shared" ca="1" si="94"/>
        <v>11.599999999999939</v>
      </c>
      <c r="D254" s="306">
        <f t="shared" ca="1" si="95"/>
        <v>-1.2370525783118169</v>
      </c>
      <c r="E254" s="307">
        <f t="shared" ca="1" si="96"/>
        <v>-12.15694701215908</v>
      </c>
      <c r="F254" s="304">
        <f t="shared" ca="1" si="97"/>
        <v>12.219724208751664</v>
      </c>
      <c r="G254" s="306">
        <f t="shared" ca="1" si="98"/>
        <v>27.82780894658967</v>
      </c>
      <c r="H254" s="307">
        <f t="shared" ca="1" si="99"/>
        <v>51.814163445081896</v>
      </c>
      <c r="I254" s="304">
        <f t="shared" ca="1" si="100"/>
        <v>58.814067061218928</v>
      </c>
      <c r="J254" s="306">
        <f t="shared" ca="1" si="101"/>
        <v>379.85612194524657</v>
      </c>
      <c r="K254" s="307">
        <f t="shared" ca="1" si="102"/>
        <v>1317.3913375187169</v>
      </c>
      <c r="L254" s="304">
        <f t="shared" ca="1" si="87"/>
        <v>1371.0618547493166</v>
      </c>
      <c r="M254" s="306">
        <f t="shared" ca="1" si="103"/>
        <v>1.0779347026354613</v>
      </c>
      <c r="N254" s="304">
        <f t="shared" ca="1" si="104"/>
        <v>61.761109051701354</v>
      </c>
      <c r="P254" s="310">
        <f t="shared" ca="1" si="105"/>
        <v>23</v>
      </c>
      <c r="Q254" s="304">
        <f t="shared" ca="1" si="106"/>
        <v>0</v>
      </c>
      <c r="R254" s="306">
        <f t="shared" ca="1" si="107"/>
        <v>0</v>
      </c>
      <c r="S254" s="307">
        <f t="shared" ca="1" si="108"/>
        <v>2.9792999999999985</v>
      </c>
      <c r="T254" s="304">
        <f t="shared" ca="1" si="88"/>
        <v>29.226932999999988</v>
      </c>
      <c r="U254" s="311">
        <f t="shared" ca="1" si="89"/>
        <v>0</v>
      </c>
      <c r="V254" s="306">
        <f t="shared" ca="1" si="90"/>
        <v>1.0735926947712289</v>
      </c>
      <c r="W254" s="304">
        <f t="shared" ca="1" si="91"/>
        <v>7.6045731519900919</v>
      </c>
      <c r="Y254" s="314" t="str">
        <f t="shared" ca="1" si="109"/>
        <v/>
      </c>
      <c r="Z254" s="315" t="str">
        <f t="shared" ca="1" si="110"/>
        <v/>
      </c>
      <c r="AA254" s="316" t="str">
        <f t="shared" ca="1" si="111"/>
        <v/>
      </c>
      <c r="AC254" s="310" t="e">
        <f t="shared" ca="1" si="112"/>
        <v>#N/A</v>
      </c>
      <c r="AD254" s="323" t="e">
        <f t="shared" ca="1" si="113"/>
        <v>#N/A</v>
      </c>
      <c r="AE254" s="324">
        <f t="shared" ca="1" si="92"/>
        <v>1317.3913375187169</v>
      </c>
      <c r="AG254" s="306">
        <f t="shared" ca="1" si="114"/>
        <v>-11.331286092468423</v>
      </c>
      <c r="AH254" s="304">
        <f t="shared" ca="1" si="115"/>
        <v>-2.6530094910102271</v>
      </c>
    </row>
    <row r="255" spans="1:34" x14ac:dyDescent="0.2">
      <c r="A255" s="347">
        <f t="shared" ca="1" si="93"/>
        <v>0.1</v>
      </c>
      <c r="B255" s="304">
        <f t="shared" ca="1" si="94"/>
        <v>11.699999999999939</v>
      </c>
      <c r="D255" s="306">
        <f t="shared" ca="1" si="95"/>
        <v>-1.207698163640655</v>
      </c>
      <c r="E255" s="307">
        <f t="shared" ca="1" si="96"/>
        <v>-12.058681172251289</v>
      </c>
      <c r="F255" s="304">
        <f t="shared" ca="1" si="97"/>
        <v>12.119006826818307</v>
      </c>
      <c r="G255" s="306">
        <f t="shared" ca="1" si="98"/>
        <v>27.707039130225603</v>
      </c>
      <c r="H255" s="307">
        <f t="shared" ca="1" si="99"/>
        <v>50.608295327856766</v>
      </c>
      <c r="I255" s="304">
        <f t="shared" ca="1" si="100"/>
        <v>57.696443333670246</v>
      </c>
      <c r="J255" s="306">
        <f t="shared" ca="1" si="101"/>
        <v>382.63286434908736</v>
      </c>
      <c r="K255" s="307">
        <f t="shared" ca="1" si="102"/>
        <v>1322.5124604573639</v>
      </c>
      <c r="L255" s="304">
        <f t="shared" ca="1" si="87"/>
        <v>1376.7523804028731</v>
      </c>
      <c r="M255" s="306">
        <f t="shared" ca="1" si="103"/>
        <v>1.0698897692838232</v>
      </c>
      <c r="N255" s="304">
        <f t="shared" ca="1" si="104"/>
        <v>61.300168324188448</v>
      </c>
      <c r="P255" s="310">
        <f t="shared" ca="1" si="105"/>
        <v>23</v>
      </c>
      <c r="Q255" s="304">
        <f t="shared" ca="1" si="106"/>
        <v>0</v>
      </c>
      <c r="R255" s="306">
        <f t="shared" ca="1" si="107"/>
        <v>0</v>
      </c>
      <c r="S255" s="307">
        <f t="shared" ca="1" si="108"/>
        <v>2.9792999999999985</v>
      </c>
      <c r="T255" s="304">
        <f t="shared" ca="1" si="88"/>
        <v>29.226932999999988</v>
      </c>
      <c r="U255" s="311">
        <f t="shared" ca="1" si="89"/>
        <v>0</v>
      </c>
      <c r="V255" s="306">
        <f t="shared" ca="1" si="90"/>
        <v>1.0730406315095644</v>
      </c>
      <c r="W255" s="304">
        <f t="shared" ca="1" si="91"/>
        <v>7.3145417118282197</v>
      </c>
      <c r="Y255" s="314" t="str">
        <f t="shared" ca="1" si="109"/>
        <v/>
      </c>
      <c r="Z255" s="315" t="str">
        <f t="shared" ca="1" si="110"/>
        <v/>
      </c>
      <c r="AA255" s="316" t="str">
        <f t="shared" ca="1" si="111"/>
        <v/>
      </c>
      <c r="AC255" s="310" t="e">
        <f t="shared" ca="1" si="112"/>
        <v>#N/A</v>
      </c>
      <c r="AD255" s="323" t="e">
        <f t="shared" ca="1" si="113"/>
        <v>#N/A</v>
      </c>
      <c r="AE255" s="324">
        <f t="shared" ca="1" si="92"/>
        <v>1322.5124604573639</v>
      </c>
      <c r="AG255" s="306">
        <f t="shared" ca="1" si="114"/>
        <v>-11.194908018667697</v>
      </c>
      <c r="AH255" s="304">
        <f t="shared" ca="1" si="115"/>
        <v>-2.5524697586648193</v>
      </c>
    </row>
    <row r="256" spans="1:34" x14ac:dyDescent="0.2">
      <c r="A256" s="347">
        <f t="shared" ca="1" si="93"/>
        <v>0.1</v>
      </c>
      <c r="B256" s="304">
        <f t="shared" ca="1" si="94"/>
        <v>11.799999999999939</v>
      </c>
      <c r="D256" s="306">
        <f t="shared" ca="1" si="95"/>
        <v>-1.1790004209929656</v>
      </c>
      <c r="E256" s="307">
        <f t="shared" ca="1" si="96"/>
        <v>-11.963503346815161</v>
      </c>
      <c r="F256" s="304">
        <f t="shared" ca="1" si="97"/>
        <v>12.021458078035257</v>
      </c>
      <c r="G256" s="306">
        <f t="shared" ca="1" si="98"/>
        <v>27.589139088126306</v>
      </c>
      <c r="H256" s="307">
        <f t="shared" ca="1" si="99"/>
        <v>49.411944993175247</v>
      </c>
      <c r="I256" s="304">
        <f t="shared" ca="1" si="100"/>
        <v>56.5924103006097</v>
      </c>
      <c r="J256" s="306">
        <f t="shared" ca="1" si="101"/>
        <v>385.39767326000498</v>
      </c>
      <c r="K256" s="307">
        <f t="shared" ca="1" si="102"/>
        <v>1327.5134724734155</v>
      </c>
      <c r="L256" s="304">
        <f t="shared" ca="1" si="87"/>
        <v>1382.325354666061</v>
      </c>
      <c r="M256" s="306">
        <f t="shared" ca="1" si="103"/>
        <v>1.0615652932361312</v>
      </c>
      <c r="N256" s="304">
        <f t="shared" ca="1" si="104"/>
        <v>60.82321097999796</v>
      </c>
      <c r="P256" s="310">
        <f t="shared" ca="1" si="105"/>
        <v>23</v>
      </c>
      <c r="Q256" s="304">
        <f t="shared" ca="1" si="106"/>
        <v>0</v>
      </c>
      <c r="R256" s="306">
        <f t="shared" ca="1" si="107"/>
        <v>0</v>
      </c>
      <c r="S256" s="307">
        <f t="shared" ca="1" si="108"/>
        <v>2.9792999999999985</v>
      </c>
      <c r="T256" s="304">
        <f t="shared" ca="1" si="88"/>
        <v>29.226932999999988</v>
      </c>
      <c r="U256" s="311">
        <f t="shared" ca="1" si="89"/>
        <v>0</v>
      </c>
      <c r="V256" s="306">
        <f t="shared" ca="1" si="90"/>
        <v>1.0725017722174868</v>
      </c>
      <c r="W256" s="304">
        <f t="shared" ca="1" si="91"/>
        <v>7.0337555401712279</v>
      </c>
      <c r="Y256" s="314" t="str">
        <f t="shared" ca="1" si="109"/>
        <v/>
      </c>
      <c r="Z256" s="315" t="str">
        <f t="shared" ca="1" si="110"/>
        <v/>
      </c>
      <c r="AA256" s="316" t="str">
        <f t="shared" ca="1" si="111"/>
        <v/>
      </c>
      <c r="AC256" s="310" t="e">
        <f t="shared" ca="1" si="112"/>
        <v>#N/A</v>
      </c>
      <c r="AD256" s="323" t="e">
        <f t="shared" ca="1" si="113"/>
        <v>#N/A</v>
      </c>
      <c r="AE256" s="324">
        <f t="shared" ca="1" si="92"/>
        <v>1327.5134724734155</v>
      </c>
      <c r="AG256" s="306">
        <f t="shared" ca="1" si="114"/>
        <v>-11.059938610774612</v>
      </c>
      <c r="AH256" s="304">
        <f t="shared" ca="1" si="115"/>
        <v>-2.4551209048528926</v>
      </c>
    </row>
    <row r="257" spans="1:34" x14ac:dyDescent="0.2">
      <c r="A257" s="347">
        <f t="shared" ca="1" si="93"/>
        <v>0.1</v>
      </c>
      <c r="B257" s="304">
        <f t="shared" ca="1" si="94"/>
        <v>11.899999999999938</v>
      </c>
      <c r="D257" s="306">
        <f t="shared" ca="1" si="95"/>
        <v>-1.1509408141941948</v>
      </c>
      <c r="E257" s="307">
        <f t="shared" ca="1" si="96"/>
        <v>-11.871326524894698</v>
      </c>
      <c r="F257" s="304">
        <f t="shared" ca="1" si="97"/>
        <v>11.926988648374175</v>
      </c>
      <c r="G257" s="306">
        <f t="shared" ca="1" si="98"/>
        <v>27.474045006706888</v>
      </c>
      <c r="H257" s="307">
        <f t="shared" ca="1" si="99"/>
        <v>48.22481234068578</v>
      </c>
      <c r="I257" s="304">
        <f t="shared" ca="1" si="100"/>
        <v>55.501852890916311</v>
      </c>
      <c r="J257" s="306">
        <f t="shared" ca="1" si="101"/>
        <v>388.15083246474666</v>
      </c>
      <c r="K257" s="307">
        <f t="shared" ca="1" si="102"/>
        <v>1332.3953103401086</v>
      </c>
      <c r="L257" s="304">
        <f t="shared" ca="1" si="87"/>
        <v>1387.7818026474442</v>
      </c>
      <c r="M257" s="306">
        <f t="shared" ca="1" si="103"/>
        <v>1.0529484764830321</v>
      </c>
      <c r="N257" s="304">
        <f t="shared" ca="1" si="104"/>
        <v>60.32950374720776</v>
      </c>
      <c r="P257" s="310">
        <f t="shared" ca="1" si="105"/>
        <v>23</v>
      </c>
      <c r="Q257" s="304">
        <f t="shared" ca="1" si="106"/>
        <v>0</v>
      </c>
      <c r="R257" s="306">
        <f t="shared" ca="1" si="107"/>
        <v>0</v>
      </c>
      <c r="S257" s="307">
        <f t="shared" ca="1" si="108"/>
        <v>2.9792999999999985</v>
      </c>
      <c r="T257" s="304">
        <f t="shared" ca="1" si="88"/>
        <v>29.226932999999988</v>
      </c>
      <c r="U257" s="311">
        <f t="shared" ca="1" si="89"/>
        <v>0</v>
      </c>
      <c r="V257" s="306">
        <f t="shared" ca="1" si="90"/>
        <v>1.0719759976390941</v>
      </c>
      <c r="W257" s="304">
        <f t="shared" ca="1" si="91"/>
        <v>6.7619646286847974</v>
      </c>
      <c r="Y257" s="314" t="str">
        <f t="shared" ca="1" si="109"/>
        <v/>
      </c>
      <c r="Z257" s="315" t="str">
        <f t="shared" ca="1" si="110"/>
        <v/>
      </c>
      <c r="AA257" s="316" t="str">
        <f t="shared" ca="1" si="111"/>
        <v/>
      </c>
      <c r="AC257" s="310" t="e">
        <f t="shared" ca="1" si="112"/>
        <v>#N/A</v>
      </c>
      <c r="AD257" s="323" t="e">
        <f t="shared" ca="1" si="113"/>
        <v>#N/A</v>
      </c>
      <c r="AE257" s="324">
        <f t="shared" ca="1" si="92"/>
        <v>1332.3953103401086</v>
      </c>
      <c r="AG257" s="306">
        <f t="shared" ca="1" si="114"/>
        <v>-10.92617890216389</v>
      </c>
      <c r="AH257" s="304">
        <f t="shared" ca="1" si="115"/>
        <v>-2.3608752190686508</v>
      </c>
    </row>
    <row r="258" spans="1:34" x14ac:dyDescent="0.2">
      <c r="A258" s="347">
        <f t="shared" ca="1" si="93"/>
        <v>0.1</v>
      </c>
      <c r="B258" s="304">
        <f t="shared" ca="1" si="94"/>
        <v>11.999999999999938</v>
      </c>
      <c r="D258" s="306">
        <f t="shared" ca="1" si="95"/>
        <v>-1.1235018229689628</v>
      </c>
      <c r="E258" s="307">
        <f t="shared" ca="1" si="96"/>
        <v>-11.782067257073727</v>
      </c>
      <c r="F258" s="304">
        <f t="shared" ca="1" si="97"/>
        <v>11.835512882694328</v>
      </c>
      <c r="G258" s="306">
        <f t="shared" ca="1" si="98"/>
        <v>27.361694824409991</v>
      </c>
      <c r="H258" s="307">
        <f t="shared" ca="1" si="99"/>
        <v>47.046605614978404</v>
      </c>
      <c r="I258" s="304">
        <f t="shared" ca="1" si="100"/>
        <v>54.424676788709199</v>
      </c>
      <c r="J258" s="306">
        <f t="shared" ca="1" si="101"/>
        <v>390.8926194563025</v>
      </c>
      <c r="K258" s="307">
        <f t="shared" ca="1" si="102"/>
        <v>1337.1588812378918</v>
      </c>
      <c r="L258" s="304">
        <f t="shared" ca="1" si="87"/>
        <v>1393.1227202291907</v>
      </c>
      <c r="M258" s="306">
        <f t="shared" ca="1" si="103"/>
        <v>1.0440258228436718</v>
      </c>
      <c r="N258" s="304">
        <f t="shared" ca="1" si="104"/>
        <v>59.818273351615368</v>
      </c>
      <c r="P258" s="310">
        <f t="shared" ca="1" si="105"/>
        <v>23</v>
      </c>
      <c r="Q258" s="304">
        <f t="shared" ca="1" si="106"/>
        <v>0</v>
      </c>
      <c r="R258" s="306">
        <f t="shared" ca="1" si="107"/>
        <v>0</v>
      </c>
      <c r="S258" s="307">
        <f t="shared" ca="1" si="108"/>
        <v>2.9792999999999985</v>
      </c>
      <c r="T258" s="304">
        <f t="shared" ca="1" si="88"/>
        <v>29.226932999999988</v>
      </c>
      <c r="U258" s="311">
        <f t="shared" ca="1" si="89"/>
        <v>0</v>
      </c>
      <c r="V258" s="306">
        <f t="shared" ca="1" si="90"/>
        <v>1.0714631923459359</v>
      </c>
      <c r="W258" s="304">
        <f t="shared" ca="1" si="91"/>
        <v>6.4989297579639338</v>
      </c>
      <c r="Y258" s="314" t="str">
        <f t="shared" ca="1" si="109"/>
        <v/>
      </c>
      <c r="Z258" s="315" t="str">
        <f t="shared" ca="1" si="110"/>
        <v/>
      </c>
      <c r="AA258" s="316" t="str">
        <f t="shared" ca="1" si="111"/>
        <v/>
      </c>
      <c r="AC258" s="310">
        <f t="shared" ca="1" si="112"/>
        <v>11.999999999999938</v>
      </c>
      <c r="AD258" s="323">
        <f t="shared" ca="1" si="113"/>
        <v>390.8926194563025</v>
      </c>
      <c r="AE258" s="324">
        <f t="shared" ca="1" si="92"/>
        <v>1337.1588812378918</v>
      </c>
      <c r="AG258" s="306">
        <f t="shared" ca="1" si="114"/>
        <v>-10.793425640842518</v>
      </c>
      <c r="AH258" s="304">
        <f t="shared" ca="1" si="115"/>
        <v>-2.2696487861862855</v>
      </c>
    </row>
    <row r="259" spans="1:34" x14ac:dyDescent="0.2">
      <c r="A259" s="347">
        <f t="shared" ca="1" si="93"/>
        <v>0.1</v>
      </c>
      <c r="B259" s="304">
        <f t="shared" ca="1" si="94"/>
        <v>12.099999999999937</v>
      </c>
      <c r="D259" s="306">
        <f t="shared" ca="1" si="95"/>
        <v>-1.0966669175223893</v>
      </c>
      <c r="E259" s="307">
        <f t="shared" ca="1" si="96"/>
        <v>-11.69564547228417</v>
      </c>
      <c r="F259" s="304">
        <f t="shared" ca="1" si="97"/>
        <v>11.746948597033583</v>
      </c>
      <c r="G259" s="306">
        <f t="shared" ca="1" si="98"/>
        <v>27.252028132657752</v>
      </c>
      <c r="H259" s="307">
        <f t="shared" ca="1" si="99"/>
        <v>45.877041067749985</v>
      </c>
      <c r="I259" s="304">
        <f t="shared" ca="1" si="100"/>
        <v>53.360808975081966</v>
      </c>
      <c r="J259" s="306">
        <f t="shared" ca="1" si="101"/>
        <v>393.62330560415586</v>
      </c>
      <c r="K259" s="307">
        <f t="shared" ca="1" si="102"/>
        <v>1341.8050635720283</v>
      </c>
      <c r="L259" s="304">
        <f t="shared" ca="1" si="87"/>
        <v>1398.3490749245259</v>
      </c>
      <c r="M259" s="306">
        <f t="shared" ca="1" si="103"/>
        <v>1.0347831001772072</v>
      </c>
      <c r="N259" s="304">
        <f t="shared" ca="1" si="104"/>
        <v>59.288704351617042</v>
      </c>
      <c r="P259" s="310">
        <f t="shared" ca="1" si="105"/>
        <v>23</v>
      </c>
      <c r="Q259" s="304">
        <f t="shared" ca="1" si="106"/>
        <v>0</v>
      </c>
      <c r="R259" s="306">
        <f t="shared" ca="1" si="107"/>
        <v>0</v>
      </c>
      <c r="S259" s="307">
        <f t="shared" ca="1" si="108"/>
        <v>2.9792999999999985</v>
      </c>
      <c r="T259" s="304">
        <f t="shared" ca="1" si="88"/>
        <v>29.226932999999988</v>
      </c>
      <c r="U259" s="311">
        <f t="shared" ca="1" si="89"/>
        <v>0</v>
      </c>
      <c r="V259" s="306">
        <f t="shared" ca="1" si="90"/>
        <v>1.0709632446290724</v>
      </c>
      <c r="W259" s="304">
        <f t="shared" ca="1" si="91"/>
        <v>6.2444220080039763</v>
      </c>
      <c r="Y259" s="314" t="str">
        <f t="shared" ca="1" si="109"/>
        <v/>
      </c>
      <c r="Z259" s="315" t="str">
        <f t="shared" ca="1" si="110"/>
        <v/>
      </c>
      <c r="AA259" s="316" t="str">
        <f t="shared" ca="1" si="111"/>
        <v/>
      </c>
      <c r="AC259" s="310" t="e">
        <f t="shared" ca="1" si="112"/>
        <v>#N/A</v>
      </c>
      <c r="AD259" s="323" t="e">
        <f t="shared" ca="1" si="113"/>
        <v>#N/A</v>
      </c>
      <c r="AE259" s="324">
        <f t="shared" ca="1" si="92"/>
        <v>1341.8050635720283</v>
      </c>
      <c r="AG259" s="306">
        <f t="shared" ca="1" si="114"/>
        <v>-10.66147048922506</v>
      </c>
      <c r="AH259" s="304">
        <f t="shared" ca="1" si="115"/>
        <v>-2.1813613123767115</v>
      </c>
    </row>
    <row r="260" spans="1:34" x14ac:dyDescent="0.2">
      <c r="A260" s="347">
        <f t="shared" ca="1" si="93"/>
        <v>0.1</v>
      </c>
      <c r="B260" s="304">
        <f t="shared" ca="1" si="94"/>
        <v>12.199999999999937</v>
      </c>
      <c r="D260" s="306">
        <f t="shared" ca="1" si="95"/>
        <v>-1.0704205364385531</v>
      </c>
      <c r="E260" s="307">
        <f t="shared" ca="1" si="96"/>
        <v>-11.611984302632719</v>
      </c>
      <c r="F260" s="304">
        <f t="shared" ca="1" si="97"/>
        <v>11.661216899167002</v>
      </c>
      <c r="G260" s="306">
        <f t="shared" ca="1" si="98"/>
        <v>27.144986079013897</v>
      </c>
      <c r="H260" s="307">
        <f t="shared" ca="1" si="99"/>
        <v>44.715842637486716</v>
      </c>
      <c r="I260" s="304">
        <f t="shared" ca="1" si="100"/>
        <v>52.310198355677578</v>
      </c>
      <c r="J260" s="306">
        <f t="shared" ca="1" si="101"/>
        <v>396.34315631473942</v>
      </c>
      <c r="K260" s="307">
        <f t="shared" ca="1" si="102"/>
        <v>1346.3347077572901</v>
      </c>
      <c r="L260" s="304">
        <f t="shared" ref="L260:L323" ca="1" si="116">SQRT(pos_x^2+pos_z^2)</f>
        <v>1403.4618067013571</v>
      </c>
      <c r="M260" s="306">
        <f t="shared" ca="1" si="103"/>
        <v>1.0252053015002542</v>
      </c>
      <c r="N260" s="304">
        <f t="shared" ca="1" si="104"/>
        <v>58.739936910401653</v>
      </c>
      <c r="P260" s="310">
        <f t="shared" ca="1" si="105"/>
        <v>23</v>
      </c>
      <c r="Q260" s="304">
        <f t="shared" ca="1" si="106"/>
        <v>0</v>
      </c>
      <c r="R260" s="306">
        <f t="shared" ca="1" si="107"/>
        <v>0</v>
      </c>
      <c r="S260" s="307">
        <f t="shared" ca="1" si="108"/>
        <v>2.9792999999999985</v>
      </c>
      <c r="T260" s="304">
        <f t="shared" ref="T260:T323" ca="1" si="117">m*g</f>
        <v>29.226932999999988</v>
      </c>
      <c r="U260" s="311">
        <f t="shared" ref="U260:U323" ca="1" si="118">IF(pos_xz&lt;L_rampe,Poids*COS(Beta),0)</f>
        <v>0</v>
      </c>
      <c r="V260" s="306">
        <f t="shared" ref="V260:V323" ca="1" si="119">Rho_moyen*(20000-Alt_rampe-pos_z)/(20000+Alt_rampe+pos_z)</f>
        <v>1.0704760463956058</v>
      </c>
      <c r="W260" s="304">
        <f t="shared" ref="W260:W323" ca="1" si="120">1/2*Rho*Sref*Cx*vit_xz^2</f>
        <v>5.9982222959415958</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1346.3347077572901</v>
      </c>
      <c r="AG260" s="306">
        <f t="shared" ca="1" si="114"/>
        <v>-10.530099188809841</v>
      </c>
      <c r="AH260" s="304">
        <f t="shared" ca="1" si="115"/>
        <v>-2.0959359607974957</v>
      </c>
    </row>
    <row r="261" spans="1:34" x14ac:dyDescent="0.2">
      <c r="A261" s="347">
        <f t="shared" ref="A261:A324" ca="1" si="122">IF(B260+0.01&lt;=T_ini+ROUNDUP(Temps_fin_propu,0), 0.01, IF(K260&gt;0, 0.1, 0.0001))</f>
        <v>0.1</v>
      </c>
      <c r="B261" s="304">
        <f t="shared" ref="B261:B324" ca="1" si="123">B260+pas</f>
        <v>12.299999999999937</v>
      </c>
      <c r="D261" s="306">
        <f t="shared" ref="D261:D324" ca="1" si="124">IF(AND(L260&lt;L_rampe,Poussee&lt;Poids*SIN(M260)),0,(-W260+Poussee)/m*COS(M260)-U260/m*SIN(M260))</f>
        <v>-1.0447480678346888</v>
      </c>
      <c r="E261" s="307">
        <f t="shared" ref="E261:E324" ca="1" si="125">IF(AND(L260&lt;L_rampe,Poussee&lt;Poids*SIN(M260)),0,(-W260+Poussee)/m*SIN(M260)+U260/m*COS(M260)-Poids/m)</f>
        <v>-11.531009915463967</v>
      </c>
      <c r="F261" s="304">
        <f t="shared" ref="F261:F324" ca="1" si="126">SQRT(acc_x^2+acc_z^2)</f>
        <v>11.578242016635022</v>
      </c>
      <c r="G261" s="306">
        <f t="shared" ref="G261:G324" ca="1" si="127">G260+acc_x*pas</f>
        <v>27.040511272230429</v>
      </c>
      <c r="H261" s="307">
        <f t="shared" ref="H261:H324" ca="1" si="128">H260+acc_z*pas</f>
        <v>43.562741645940321</v>
      </c>
      <c r="I261" s="304">
        <f t="shared" ref="I261:I324" ca="1" si="129">SQRT(vit_x^2+vit_z^2)</f>
        <v>51.27281647788196</v>
      </c>
      <c r="J261" s="306">
        <f t="shared" ref="J261:J324" ca="1" si="130">J260+0.5*(vit_x+G260)*pas*(K260&gt;=0)</f>
        <v>399.05243118230163</v>
      </c>
      <c r="K261" s="307">
        <f t="shared" ref="K261:K324" ca="1" si="131">K260+0.5*(vit_z+H260)*pas</f>
        <v>1350.7486369714613</v>
      </c>
      <c r="L261" s="304">
        <f t="shared" ca="1" si="116"/>
        <v>1408.4618287737749</v>
      </c>
      <c r="M261" s="306">
        <f t="shared" ref="M261:M324" ca="1" si="132">IF(AND(L260&gt;L_rampe,G261&gt;0),ATAN2(G261,H261),$M$4)</f>
        <v>1.0152766052425313</v>
      </c>
      <c r="N261" s="304">
        <f t="shared" ref="N261:N324" ca="1" si="133">DEGREES(Beta)</f>
        <v>58.171064518766791</v>
      </c>
      <c r="P261" s="310">
        <f t="shared" ref="P261:P324" ca="1" si="134">MATCH(t-pas/2-T_ini,CdP_t)</f>
        <v>23</v>
      </c>
      <c r="Q261" s="304">
        <f t="shared" ref="Q261:Q324" ca="1" si="135">(INDEX(CdP,2,i_P+1)-INDEX(CdP,2,i_P+0))/(INDEX(CdP,1,i_P+1)-INDEX(CdP,1,i_P+0))*(t-pas/2-T_ini-INDEX(CdP,1,i_P+0))+INDEX(CdP,2,i_P+0)</f>
        <v>0</v>
      </c>
      <c r="R261" s="306">
        <f t="shared" ref="R261:R324" ca="1" si="136">Poussee/(g*ISP)</f>
        <v>0</v>
      </c>
      <c r="S261" s="307">
        <f t="shared" ref="S261:S324" ca="1" si="137">S260-Débit*pas</f>
        <v>2.9792999999999985</v>
      </c>
      <c r="T261" s="304">
        <f t="shared" ca="1" si="117"/>
        <v>29.226932999999988</v>
      </c>
      <c r="U261" s="311">
        <f t="shared" ca="1" si="118"/>
        <v>0</v>
      </c>
      <c r="V261" s="306">
        <f t="shared" ca="1" si="119"/>
        <v>1.0700014930694488</v>
      </c>
      <c r="W261" s="304">
        <f t="shared" ca="1" si="120"/>
        <v>5.7601209393452146</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1350.7486369714613</v>
      </c>
      <c r="AG261" s="306">
        <f t="shared" ref="AG261:AG324" ca="1" si="143">IF(AND(L260&lt;L_rampe,Poussee&lt;Poids*SIN(M260)),0,(-W260+Poussee)/m-Poids*SIN(M260)/m)</f>
        <v>-10.399090687630579</v>
      </c>
      <c r="AH261" s="304">
        <f t="shared" ref="AH261:AH324" ca="1" si="144">IF(AND(L260&lt;L_rampe,Poussee&lt;Poids*SIN(M260)), g*SIN(M260), (-W260+Poussee)/m)</f>
        <v>-2.0132991964359408</v>
      </c>
    </row>
    <row r="262" spans="1:34" x14ac:dyDescent="0.2">
      <c r="A262" s="347">
        <f t="shared" ca="1" si="122"/>
        <v>0.1</v>
      </c>
      <c r="B262" s="304">
        <f t="shared" ca="1" si="123"/>
        <v>12.399999999999936</v>
      </c>
      <c r="D262" s="306">
        <f t="shared" ca="1" si="124"/>
        <v>-1.0196358337212914</v>
      </c>
      <c r="E262" s="307">
        <f t="shared" ca="1" si="125"/>
        <v>-11.452651351898043</v>
      </c>
      <c r="F262" s="304">
        <f t="shared" ca="1" si="126"/>
        <v>11.497951131464275</v>
      </c>
      <c r="G262" s="306">
        <f t="shared" ca="1" si="127"/>
        <v>26.9385476888583</v>
      </c>
      <c r="H262" s="307">
        <f t="shared" ca="1" si="128"/>
        <v>42.417476510750518</v>
      </c>
      <c r="I262" s="304">
        <f t="shared" ca="1" si="129"/>
        <v>50.248658341541464</v>
      </c>
      <c r="J262" s="306">
        <f t="shared" ca="1" si="130"/>
        <v>401.75138413035609</v>
      </c>
      <c r="K262" s="307">
        <f t="shared" ca="1" si="131"/>
        <v>1355.0476478792959</v>
      </c>
      <c r="L262" s="304">
        <f t="shared" ca="1" si="116"/>
        <v>1413.3500283630624</v>
      </c>
      <c r="M262" s="306">
        <f t="shared" ca="1" si="132"/>
        <v>1.0049803349508277</v>
      </c>
      <c r="N262" s="304">
        <f t="shared" ca="1" si="133"/>
        <v>57.581131686326245</v>
      </c>
      <c r="P262" s="310">
        <f t="shared" ca="1" si="134"/>
        <v>23</v>
      </c>
      <c r="Q262" s="304">
        <f t="shared" ca="1" si="135"/>
        <v>0</v>
      </c>
      <c r="R262" s="306">
        <f t="shared" ca="1" si="136"/>
        <v>0</v>
      </c>
      <c r="S262" s="307">
        <f t="shared" ca="1" si="137"/>
        <v>2.9792999999999985</v>
      </c>
      <c r="T262" s="304">
        <f t="shared" ca="1" si="117"/>
        <v>29.226932999999988</v>
      </c>
      <c r="U262" s="311">
        <f t="shared" ca="1" si="118"/>
        <v>0</v>
      </c>
      <c r="V262" s="306">
        <f t="shared" ca="1" si="119"/>
        <v>1.0695394834961205</v>
      </c>
      <c r="W262" s="304">
        <f t="shared" ca="1" si="120"/>
        <v>5.5299172434503747</v>
      </c>
      <c r="Y262" s="314" t="str">
        <f t="shared" ca="1" si="138"/>
        <v/>
      </c>
      <c r="Z262" s="315" t="str">
        <f t="shared" ca="1" si="139"/>
        <v/>
      </c>
      <c r="AA262" s="316" t="str">
        <f t="shared" ca="1" si="140"/>
        <v/>
      </c>
      <c r="AC262" s="310" t="e">
        <f t="shared" ca="1" si="141"/>
        <v>#N/A</v>
      </c>
      <c r="AD262" s="323" t="e">
        <f t="shared" ca="1" si="142"/>
        <v>#N/A</v>
      </c>
      <c r="AE262" s="324">
        <f t="shared" ca="1" si="121"/>
        <v>1355.0476478792959</v>
      </c>
      <c r="AG262" s="306">
        <f t="shared" ca="1" si="143"/>
        <v>-10.268216228889766</v>
      </c>
      <c r="AH262" s="304">
        <f t="shared" ca="1" si="144"/>
        <v>-1.9333806395278144</v>
      </c>
    </row>
    <row r="263" spans="1:34" x14ac:dyDescent="0.2">
      <c r="A263" s="347">
        <f t="shared" ca="1" si="122"/>
        <v>0.1</v>
      </c>
      <c r="B263" s="304">
        <f t="shared" ca="1" si="123"/>
        <v>12.499999999999936</v>
      </c>
      <c r="D263" s="306">
        <f t="shared" ca="1" si="124"/>
        <v>-0.99507107752794077</v>
      </c>
      <c r="E263" s="307">
        <f t="shared" ca="1" si="125"/>
        <v>-11.376840371094909</v>
      </c>
      <c r="F263" s="304">
        <f t="shared" ca="1" si="126"/>
        <v>11.420274220819199</v>
      </c>
      <c r="G263" s="306">
        <f t="shared" ca="1" si="127"/>
        <v>26.839040581105507</v>
      </c>
      <c r="H263" s="307">
        <f t="shared" ca="1" si="128"/>
        <v>41.279792473641024</v>
      </c>
      <c r="I263" s="304">
        <f t="shared" ca="1" si="129"/>
        <v>49.237743307153089</v>
      </c>
      <c r="J263" s="306">
        <f t="shared" ca="1" si="130"/>
        <v>404.44026354385426</v>
      </c>
      <c r="K263" s="307">
        <f t="shared" ca="1" si="131"/>
        <v>1359.2325113285156</v>
      </c>
      <c r="L263" s="304">
        <f t="shared" ca="1" si="116"/>
        <v>1418.1272674297768</v>
      </c>
      <c r="M263" s="306">
        <f t="shared" ca="1" si="132"/>
        <v>0.99429891884617128</v>
      </c>
      <c r="N263" s="304">
        <f t="shared" ca="1" si="133"/>
        <v>56.969131624306364</v>
      </c>
      <c r="P263" s="310">
        <f t="shared" ca="1" si="134"/>
        <v>23</v>
      </c>
      <c r="Q263" s="304">
        <f t="shared" ca="1" si="135"/>
        <v>0</v>
      </c>
      <c r="R263" s="306">
        <f t="shared" ca="1" si="136"/>
        <v>0</v>
      </c>
      <c r="S263" s="307">
        <f t="shared" ca="1" si="137"/>
        <v>2.9792999999999985</v>
      </c>
      <c r="T263" s="304">
        <f t="shared" ca="1" si="117"/>
        <v>29.226932999999988</v>
      </c>
      <c r="U263" s="311">
        <f t="shared" ca="1" si="118"/>
        <v>0</v>
      </c>
      <c r="V263" s="306">
        <f t="shared" ca="1" si="119"/>
        <v>1.0690899198513508</v>
      </c>
      <c r="W263" s="304">
        <f t="shared" ca="1" si="120"/>
        <v>5.3074191108421953</v>
      </c>
      <c r="Y263" s="314" t="str">
        <f t="shared" ca="1" si="138"/>
        <v/>
      </c>
      <c r="Z263" s="315" t="str">
        <f t="shared" ca="1" si="139"/>
        <v/>
      </c>
      <c r="AA263" s="316" t="str">
        <f t="shared" ca="1" si="140"/>
        <v/>
      </c>
      <c r="AC263" s="310" t="e">
        <f t="shared" ca="1" si="141"/>
        <v>#N/A</v>
      </c>
      <c r="AD263" s="323" t="e">
        <f t="shared" ca="1" si="142"/>
        <v>#N/A</v>
      </c>
      <c r="AE263" s="324">
        <f t="shared" ca="1" si="121"/>
        <v>1359.2325113285156</v>
      </c>
      <c r="AG263" s="306">
        <f t="shared" ca="1" si="143"/>
        <v>-10.137238399898745</v>
      </c>
      <c r="AH263" s="304">
        <f t="shared" ca="1" si="144"/>
        <v>-1.8561129270131835</v>
      </c>
    </row>
    <row r="264" spans="1:34" x14ac:dyDescent="0.2">
      <c r="A264" s="347">
        <f t="shared" ca="1" si="122"/>
        <v>0.1</v>
      </c>
      <c r="B264" s="304">
        <f t="shared" ca="1" si="123"/>
        <v>12.599999999999936</v>
      </c>
      <c r="D264" s="306">
        <f t="shared" ca="1" si="124"/>
        <v>-0.97104195476215971</v>
      </c>
      <c r="E264" s="307">
        <f t="shared" ca="1" si="125"/>
        <v>-11.303511299505981</v>
      </c>
      <c r="F264" s="304">
        <f t="shared" ca="1" si="126"/>
        <v>11.345143902832071</v>
      </c>
      <c r="G264" s="306">
        <f t="shared" ca="1" si="127"/>
        <v>26.741936385629291</v>
      </c>
      <c r="H264" s="307">
        <f t="shared" ca="1" si="128"/>
        <v>40.149441343690427</v>
      </c>
      <c r="I264" s="304">
        <f t="shared" ca="1" si="129"/>
        <v>48.240116105410465</v>
      </c>
      <c r="J264" s="306">
        <f t="shared" ca="1" si="130"/>
        <v>407.11931239219098</v>
      </c>
      <c r="K264" s="307">
        <f t="shared" ca="1" si="131"/>
        <v>1363.3039730193821</v>
      </c>
      <c r="L264" s="304">
        <f t="shared" ca="1" si="116"/>
        <v>1422.7943833784002</v>
      </c>
      <c r="M264" s="306">
        <f t="shared" ca="1" si="132"/>
        <v>0.98321384975373272</v>
      </c>
      <c r="N264" s="304">
        <f t="shared" ca="1" si="133"/>
        <v>56.334003949698719</v>
      </c>
      <c r="P264" s="310">
        <f t="shared" ca="1" si="134"/>
        <v>23</v>
      </c>
      <c r="Q264" s="304">
        <f t="shared" ca="1" si="135"/>
        <v>0</v>
      </c>
      <c r="R264" s="306">
        <f t="shared" ca="1" si="136"/>
        <v>0</v>
      </c>
      <c r="S264" s="307">
        <f t="shared" ca="1" si="137"/>
        <v>2.9792999999999985</v>
      </c>
      <c r="T264" s="304">
        <f t="shared" ca="1" si="117"/>
        <v>29.226932999999988</v>
      </c>
      <c r="U264" s="311">
        <f t="shared" ca="1" si="118"/>
        <v>0</v>
      </c>
      <c r="V264" s="306">
        <f t="shared" ca="1" si="119"/>
        <v>1.0686527075532966</v>
      </c>
      <c r="W264" s="304">
        <f t="shared" ca="1" si="120"/>
        <v>5.0924426721848857</v>
      </c>
      <c r="Y264" s="314" t="str">
        <f t="shared" ca="1" si="138"/>
        <v/>
      </c>
      <c r="Z264" s="315" t="str">
        <f t="shared" ca="1" si="139"/>
        <v/>
      </c>
      <c r="AA264" s="316" t="str">
        <f t="shared" ca="1" si="140"/>
        <v/>
      </c>
      <c r="AC264" s="310" t="e">
        <f t="shared" ca="1" si="141"/>
        <v>#N/A</v>
      </c>
      <c r="AD264" s="323" t="e">
        <f t="shared" ca="1" si="142"/>
        <v>#N/A</v>
      </c>
      <c r="AE264" s="324">
        <f t="shared" ca="1" si="121"/>
        <v>1363.3039730193821</v>
      </c>
      <c r="AG264" s="306">
        <f t="shared" ca="1" si="143"/>
        <v>-10.005910141403815</v>
      </c>
      <c r="AH264" s="304">
        <f t="shared" ca="1" si="144"/>
        <v>-1.7814315815265995</v>
      </c>
    </row>
    <row r="265" spans="1:34" x14ac:dyDescent="0.2">
      <c r="A265" s="347">
        <f t="shared" ca="1" si="122"/>
        <v>0.1</v>
      </c>
      <c r="B265" s="304">
        <f t="shared" ca="1" si="123"/>
        <v>12.699999999999935</v>
      </c>
      <c r="D265" s="306">
        <f t="shared" ca="1" si="124"/>
        <v>-0.94753752677350533</v>
      </c>
      <c r="E265" s="307">
        <f t="shared" ca="1" si="125"/>
        <v>-11.232600884376577</v>
      </c>
      <c r="F265" s="304">
        <f t="shared" ca="1" si="126"/>
        <v>11.272495286862688</v>
      </c>
      <c r="G265" s="306">
        <f t="shared" ca="1" si="127"/>
        <v>26.647182632951939</v>
      </c>
      <c r="H265" s="307">
        <f t="shared" ca="1" si="128"/>
        <v>39.026181255252766</v>
      </c>
      <c r="I265" s="304">
        <f t="shared" ca="1" si="129"/>
        <v>47.25584795177987</v>
      </c>
      <c r="J265" s="306">
        <f t="shared" ca="1" si="130"/>
        <v>409.78876834312001</v>
      </c>
      <c r="K265" s="307">
        <f t="shared" ca="1" si="131"/>
        <v>1367.2627541493291</v>
      </c>
      <c r="L265" s="304">
        <f t="shared" ca="1" si="116"/>
        <v>1427.352189736009</v>
      </c>
      <c r="M265" s="306">
        <f t="shared" ca="1" si="132"/>
        <v>0.97170564606299314</v>
      </c>
      <c r="N265" s="304">
        <f t="shared" ca="1" si="133"/>
        <v>55.674632448442466</v>
      </c>
      <c r="P265" s="310">
        <f t="shared" ca="1" si="134"/>
        <v>23</v>
      </c>
      <c r="Q265" s="304">
        <f t="shared" ca="1" si="135"/>
        <v>0</v>
      </c>
      <c r="R265" s="306">
        <f t="shared" ca="1" si="136"/>
        <v>0</v>
      </c>
      <c r="S265" s="307">
        <f t="shared" ca="1" si="137"/>
        <v>2.9792999999999985</v>
      </c>
      <c r="T265" s="304">
        <f t="shared" ca="1" si="117"/>
        <v>29.226932999999988</v>
      </c>
      <c r="U265" s="311">
        <f t="shared" ca="1" si="118"/>
        <v>0</v>
      </c>
      <c r="V265" s="306">
        <f t="shared" ca="1" si="119"/>
        <v>1.0682277551781709</v>
      </c>
      <c r="W265" s="304">
        <f t="shared" ca="1" si="120"/>
        <v>4.8848119366879397</v>
      </c>
      <c r="Y265" s="314" t="str">
        <f t="shared" ca="1" si="138"/>
        <v/>
      </c>
      <c r="Z265" s="315" t="str">
        <f t="shared" ca="1" si="139"/>
        <v/>
      </c>
      <c r="AA265" s="316" t="str">
        <f t="shared" ca="1" si="140"/>
        <v/>
      </c>
      <c r="AC265" s="310" t="e">
        <f t="shared" ca="1" si="141"/>
        <v>#N/A</v>
      </c>
      <c r="AD265" s="323" t="e">
        <f t="shared" ca="1" si="142"/>
        <v>#N/A</v>
      </c>
      <c r="AE265" s="324">
        <f t="shared" ca="1" si="121"/>
        <v>1367.2627541493291</v>
      </c>
      <c r="AG265" s="306">
        <f t="shared" ca="1" si="143"/>
        <v>-9.8739737186269618</v>
      </c>
      <c r="AH265" s="304">
        <f t="shared" ca="1" si="144"/>
        <v>-1.709274887451713</v>
      </c>
    </row>
    <row r="266" spans="1:34" x14ac:dyDescent="0.2">
      <c r="A266" s="347">
        <f t="shared" ca="1" si="122"/>
        <v>0.1</v>
      </c>
      <c r="B266" s="304">
        <f t="shared" ca="1" si="123"/>
        <v>12.799999999999935</v>
      </c>
      <c r="D266" s="306">
        <f t="shared" ca="1" si="124"/>
        <v>-0.92454775759687169</v>
      </c>
      <c r="E266" s="307">
        <f t="shared" ca="1" si="125"/>
        <v>-11.164048150760017</v>
      </c>
      <c r="F266" s="304">
        <f t="shared" ca="1" si="126"/>
        <v>11.202265827437126</v>
      </c>
      <c r="G266" s="306">
        <f t="shared" ca="1" si="127"/>
        <v>26.554727857192251</v>
      </c>
      <c r="H266" s="307">
        <f t="shared" ca="1" si="128"/>
        <v>37.909776440176763</v>
      </c>
      <c r="I266" s="304">
        <f t="shared" ca="1" si="129"/>
        <v>46.285037769388538</v>
      </c>
      <c r="J266" s="306">
        <f t="shared" ca="1" si="130"/>
        <v>412.44886386762721</v>
      </c>
      <c r="K266" s="307">
        <f t="shared" ca="1" si="131"/>
        <v>1371.1095520341005</v>
      </c>
      <c r="L266" s="304">
        <f t="shared" ca="1" si="116"/>
        <v>1431.8014768063513</v>
      </c>
      <c r="M266" s="306">
        <f t="shared" ca="1" si="132"/>
        <v>0.95975381454086139</v>
      </c>
      <c r="N266" s="304">
        <f t="shared" ca="1" si="133"/>
        <v>54.989842944772896</v>
      </c>
      <c r="P266" s="310">
        <f t="shared" ca="1" si="134"/>
        <v>23</v>
      </c>
      <c r="Q266" s="304">
        <f t="shared" ca="1" si="135"/>
        <v>0</v>
      </c>
      <c r="R266" s="306">
        <f t="shared" ca="1" si="136"/>
        <v>0</v>
      </c>
      <c r="S266" s="307">
        <f t="shared" ca="1" si="137"/>
        <v>2.9792999999999985</v>
      </c>
      <c r="T266" s="304">
        <f t="shared" ca="1" si="117"/>
        <v>29.226932999999988</v>
      </c>
      <c r="U266" s="311">
        <f t="shared" ca="1" si="118"/>
        <v>0</v>
      </c>
      <c r="V266" s="306">
        <f t="shared" ca="1" si="119"/>
        <v>1.0678149743790999</v>
      </c>
      <c r="W266" s="304">
        <f t="shared" ca="1" si="120"/>
        <v>4.6843584610807172</v>
      </c>
      <c r="Y266" s="314" t="str">
        <f t="shared" ca="1" si="138"/>
        <v/>
      </c>
      <c r="Z266" s="315" t="str">
        <f t="shared" ca="1" si="139"/>
        <v/>
      </c>
      <c r="AA266" s="316" t="str">
        <f t="shared" ca="1" si="140"/>
        <v/>
      </c>
      <c r="AC266" s="310" t="e">
        <f t="shared" ca="1" si="141"/>
        <v>#N/A</v>
      </c>
      <c r="AD266" s="323" t="e">
        <f t="shared" ca="1" si="142"/>
        <v>#N/A</v>
      </c>
      <c r="AE266" s="324">
        <f t="shared" ca="1" si="121"/>
        <v>1371.1095520341005</v>
      </c>
      <c r="AG266" s="306">
        <f t="shared" ca="1" si="143"/>
        <v>-9.7411596569639354</v>
      </c>
      <c r="AH266" s="304">
        <f t="shared" ca="1" si="144"/>
        <v>-1.6395837736004908</v>
      </c>
    </row>
    <row r="267" spans="1:34" x14ac:dyDescent="0.2">
      <c r="A267" s="347">
        <f t="shared" ca="1" si="122"/>
        <v>0.1</v>
      </c>
      <c r="B267" s="304">
        <f t="shared" ca="1" si="123"/>
        <v>12.899999999999935</v>
      </c>
      <c r="D267" s="306">
        <f t="shared" ca="1" si="124"/>
        <v>-0.90206351384692218</v>
      </c>
      <c r="E267" s="307">
        <f t="shared" ca="1" si="125"/>
        <v>-11.097794261296299</v>
      </c>
      <c r="F267" s="304">
        <f t="shared" ca="1" si="126"/>
        <v>11.134395181107724</v>
      </c>
      <c r="G267" s="306">
        <f t="shared" ca="1" si="127"/>
        <v>26.464521505807561</v>
      </c>
      <c r="H267" s="307">
        <f t="shared" ca="1" si="128"/>
        <v>36.799997014047136</v>
      </c>
      <c r="I267" s="304">
        <f t="shared" ca="1" si="129"/>
        <v>45.327813522882714</v>
      </c>
      <c r="J267" s="306">
        <f t="shared" ca="1" si="130"/>
        <v>415.09982633577721</v>
      </c>
      <c r="K267" s="307">
        <f t="shared" ca="1" si="131"/>
        <v>1374.8450407068117</v>
      </c>
      <c r="L267" s="304">
        <f t="shared" ca="1" si="116"/>
        <v>1436.1430123006926</v>
      </c>
      <c r="M267" s="306">
        <f t="shared" ca="1" si="132"/>
        <v>0.94733681601695174</v>
      </c>
      <c r="N267" s="304">
        <f t="shared" ca="1" si="133"/>
        <v>54.278401335132699</v>
      </c>
      <c r="P267" s="310">
        <f t="shared" ca="1" si="134"/>
        <v>23</v>
      </c>
      <c r="Q267" s="304">
        <f t="shared" ca="1" si="135"/>
        <v>0</v>
      </c>
      <c r="R267" s="306">
        <f t="shared" ca="1" si="136"/>
        <v>0</v>
      </c>
      <c r="S267" s="307">
        <f t="shared" ca="1" si="137"/>
        <v>2.9792999999999985</v>
      </c>
      <c r="T267" s="304">
        <f t="shared" ca="1" si="117"/>
        <v>29.226932999999988</v>
      </c>
      <c r="U267" s="311">
        <f t="shared" ca="1" si="118"/>
        <v>0</v>
      </c>
      <c r="V267" s="306">
        <f t="shared" ca="1" si="119"/>
        <v>1.0674142798080231</v>
      </c>
      <c r="W267" s="304">
        <f t="shared" ca="1" si="120"/>
        <v>4.4909210359420975</v>
      </c>
      <c r="Y267" s="314" t="str">
        <f t="shared" ca="1" si="138"/>
        <v/>
      </c>
      <c r="Z267" s="315" t="str">
        <f t="shared" ca="1" si="139"/>
        <v/>
      </c>
      <c r="AA267" s="316" t="str">
        <f t="shared" ca="1" si="140"/>
        <v/>
      </c>
      <c r="AC267" s="310" t="e">
        <f t="shared" ca="1" si="141"/>
        <v>#N/A</v>
      </c>
      <c r="AD267" s="323" t="e">
        <f t="shared" ca="1" si="142"/>
        <v>#N/A</v>
      </c>
      <c r="AE267" s="324">
        <f t="shared" ca="1" si="121"/>
        <v>1374.8450407068117</v>
      </c>
      <c r="AG267" s="306">
        <f t="shared" ca="1" si="143"/>
        <v>-9.6071856473457817</v>
      </c>
      <c r="AH267" s="304">
        <f t="shared" ca="1" si="144"/>
        <v>-1.5723017021047627</v>
      </c>
    </row>
    <row r="268" spans="1:34" x14ac:dyDescent="0.2">
      <c r="A268" s="347">
        <f t="shared" ca="1" si="122"/>
        <v>0.1</v>
      </c>
      <c r="B268" s="304">
        <f t="shared" ca="1" si="123"/>
        <v>12.999999999999934</v>
      </c>
      <c r="D268" s="306">
        <f t="shared" ca="1" si="124"/>
        <v>-0.88007656762887099</v>
      </c>
      <c r="E268" s="307">
        <f t="shared" ca="1" si="125"/>
        <v>-11.033782377994937</v>
      </c>
      <c r="F268" s="304">
        <f t="shared" ca="1" si="126"/>
        <v>11.06882506546386</v>
      </c>
      <c r="G268" s="306">
        <f t="shared" ca="1" si="127"/>
        <v>26.376513849044674</v>
      </c>
      <c r="H268" s="307">
        <f t="shared" ca="1" si="128"/>
        <v>35.696618776247639</v>
      </c>
      <c r="I268" s="304">
        <f t="shared" ca="1" si="129"/>
        <v>44.384333664994912</v>
      </c>
      <c r="J268" s="306">
        <f t="shared" ca="1" si="130"/>
        <v>417.74187810351981</v>
      </c>
      <c r="K268" s="307">
        <f t="shared" ca="1" si="131"/>
        <v>1378.4698714963265</v>
      </c>
      <c r="L268" s="304">
        <f t="shared" ca="1" si="116"/>
        <v>1440.3775419467477</v>
      </c>
      <c r="M268" s="306">
        <f t="shared" ca="1" si="132"/>
        <v>0.93443203519268114</v>
      </c>
      <c r="N268" s="304">
        <f t="shared" ca="1" si="133"/>
        <v>53.539011858360638</v>
      </c>
      <c r="P268" s="310">
        <f t="shared" ca="1" si="134"/>
        <v>23</v>
      </c>
      <c r="Q268" s="304">
        <f t="shared" ca="1" si="135"/>
        <v>0</v>
      </c>
      <c r="R268" s="306">
        <f t="shared" ca="1" si="136"/>
        <v>0</v>
      </c>
      <c r="S268" s="307">
        <f t="shared" ca="1" si="137"/>
        <v>2.9792999999999985</v>
      </c>
      <c r="T268" s="304">
        <f t="shared" ca="1" si="117"/>
        <v>29.226932999999988</v>
      </c>
      <c r="U268" s="311">
        <f t="shared" ca="1" si="118"/>
        <v>0</v>
      </c>
      <c r="V268" s="306">
        <f t="shared" ca="1" si="119"/>
        <v>1.0670255890404556</v>
      </c>
      <c r="W268" s="304">
        <f t="shared" ca="1" si="120"/>
        <v>4.3043453883003577</v>
      </c>
      <c r="Y268" s="314" t="str">
        <f t="shared" ca="1" si="138"/>
        <v/>
      </c>
      <c r="Z268" s="315" t="str">
        <f t="shared" ca="1" si="139"/>
        <v/>
      </c>
      <c r="AA268" s="316" t="str">
        <f t="shared" ca="1" si="140"/>
        <v/>
      </c>
      <c r="AC268" s="310">
        <f t="shared" ca="1" si="141"/>
        <v>12.999999999999934</v>
      </c>
      <c r="AD268" s="323">
        <f t="shared" ca="1" si="142"/>
        <v>417.74187810351981</v>
      </c>
      <c r="AE268" s="324">
        <f t="shared" ca="1" si="121"/>
        <v>1378.4698714963265</v>
      </c>
      <c r="AG268" s="306">
        <f t="shared" ca="1" si="143"/>
        <v>-9.4717554288801438</v>
      </c>
      <c r="AH268" s="304">
        <f t="shared" ca="1" si="144"/>
        <v>-1.5073745631329842</v>
      </c>
    </row>
    <row r="269" spans="1:34" x14ac:dyDescent="0.2">
      <c r="A269" s="347">
        <f t="shared" ca="1" si="122"/>
        <v>0.1</v>
      </c>
      <c r="B269" s="304">
        <f t="shared" ca="1" si="123"/>
        <v>13.099999999999934</v>
      </c>
      <c r="D269" s="306">
        <f t="shared" ca="1" si="124"/>
        <v>-0.85857960241844022</v>
      </c>
      <c r="E269" s="307">
        <f t="shared" ca="1" si="125"/>
        <v>-10.971957525243745</v>
      </c>
      <c r="F269" s="304">
        <f t="shared" ca="1" si="126"/>
        <v>11.00549911950575</v>
      </c>
      <c r="G269" s="306">
        <f t="shared" ca="1" si="127"/>
        <v>26.290655888802831</v>
      </c>
      <c r="H269" s="307">
        <f t="shared" ca="1" si="128"/>
        <v>34.599423023723261</v>
      </c>
      <c r="I269" s="304">
        <f t="shared" ca="1" si="129"/>
        <v>43.454788696275976</v>
      </c>
      <c r="J269" s="306">
        <f t="shared" ca="1" si="130"/>
        <v>420.37523659041216</v>
      </c>
      <c r="K269" s="307">
        <f t="shared" ca="1" si="131"/>
        <v>1381.984673586325</v>
      </c>
      <c r="L269" s="304">
        <f t="shared" ca="1" si="116"/>
        <v>1444.5057900769891</v>
      </c>
      <c r="M269" s="306">
        <f t="shared" ca="1" si="132"/>
        <v>0.92101575609892017</v>
      </c>
      <c r="N269" s="304">
        <f t="shared" ca="1" si="133"/>
        <v>52.770315689518533</v>
      </c>
      <c r="P269" s="310">
        <f t="shared" ca="1" si="134"/>
        <v>23</v>
      </c>
      <c r="Q269" s="304">
        <f t="shared" ca="1" si="135"/>
        <v>0</v>
      </c>
      <c r="R269" s="306">
        <f t="shared" ca="1" si="136"/>
        <v>0</v>
      </c>
      <c r="S269" s="307">
        <f t="shared" ca="1" si="137"/>
        <v>2.9792999999999985</v>
      </c>
      <c r="T269" s="304">
        <f t="shared" ca="1" si="117"/>
        <v>29.226932999999988</v>
      </c>
      <c r="U269" s="311">
        <f t="shared" ca="1" si="118"/>
        <v>0</v>
      </c>
      <c r="V269" s="306">
        <f t="shared" ca="1" si="119"/>
        <v>1.0666488225029396</v>
      </c>
      <c r="W269" s="304">
        <f t="shared" ca="1" si="120"/>
        <v>4.1244838994806674</v>
      </c>
      <c r="Y269" s="314" t="str">
        <f t="shared" ca="1" si="138"/>
        <v/>
      </c>
      <c r="Z269" s="315" t="str">
        <f t="shared" ca="1" si="139"/>
        <v/>
      </c>
      <c r="AA269" s="316" t="str">
        <f t="shared" ca="1" si="140"/>
        <v/>
      </c>
      <c r="AC269" s="310" t="e">
        <f t="shared" ca="1" si="141"/>
        <v>#N/A</v>
      </c>
      <c r="AD269" s="323" t="e">
        <f t="shared" ca="1" si="142"/>
        <v>#N/A</v>
      </c>
      <c r="AE269" s="324">
        <f t="shared" ca="1" si="121"/>
        <v>1381.984673586325</v>
      </c>
      <c r="AG269" s="306">
        <f t="shared" ca="1" si="143"/>
        <v>-9.3345576596604793</v>
      </c>
      <c r="AH269" s="304">
        <f t="shared" ca="1" si="144"/>
        <v>-1.4447505750680898</v>
      </c>
    </row>
    <row r="270" spans="1:34" x14ac:dyDescent="0.2">
      <c r="A270" s="347">
        <f t="shared" ca="1" si="122"/>
        <v>0.1</v>
      </c>
      <c r="B270" s="304">
        <f t="shared" ca="1" si="123"/>
        <v>13.199999999999934</v>
      </c>
      <c r="D270" s="306">
        <f t="shared" ca="1" si="124"/>
        <v>-0.83756622184451135</v>
      </c>
      <c r="E270" s="307">
        <f t="shared" ca="1" si="125"/>
        <v>-10.912266453242886</v>
      </c>
      <c r="F270" s="304">
        <f t="shared" ca="1" si="126"/>
        <v>10.944362764571766</v>
      </c>
      <c r="G270" s="306">
        <f t="shared" ca="1" si="127"/>
        <v>26.206899266618379</v>
      </c>
      <c r="H270" s="307">
        <f t="shared" ca="1" si="128"/>
        <v>33.508196378398971</v>
      </c>
      <c r="I270" s="304">
        <f t="shared" ca="1" si="129"/>
        <v>42.539402836711666</v>
      </c>
      <c r="J270" s="306">
        <f t="shared" ca="1" si="130"/>
        <v>423.00011434818322</v>
      </c>
      <c r="K270" s="307">
        <f t="shared" ca="1" si="131"/>
        <v>1385.3900545564311</v>
      </c>
      <c r="L270" s="304">
        <f t="shared" ca="1" si="116"/>
        <v>1448.5284601976059</v>
      </c>
      <c r="M270" s="306">
        <f t="shared" ca="1" si="132"/>
        <v>0.90706314504540608</v>
      </c>
      <c r="N270" s="304">
        <f t="shared" ca="1" si="133"/>
        <v>51.970889962964598</v>
      </c>
      <c r="P270" s="310">
        <f t="shared" ca="1" si="134"/>
        <v>23</v>
      </c>
      <c r="Q270" s="304">
        <f t="shared" ca="1" si="135"/>
        <v>0</v>
      </c>
      <c r="R270" s="306">
        <f t="shared" ca="1" si="136"/>
        <v>0</v>
      </c>
      <c r="S270" s="307">
        <f t="shared" ca="1" si="137"/>
        <v>2.9792999999999985</v>
      </c>
      <c r="T270" s="304">
        <f t="shared" ca="1" si="117"/>
        <v>29.226932999999988</v>
      </c>
      <c r="U270" s="311">
        <f t="shared" ca="1" si="118"/>
        <v>0</v>
      </c>
      <c r="V270" s="306">
        <f t="shared" ca="1" si="119"/>
        <v>1.0662839034030116</v>
      </c>
      <c r="W270" s="304">
        <f t="shared" ca="1" si="120"/>
        <v>3.9511953372340143</v>
      </c>
      <c r="Y270" s="314" t="str">
        <f t="shared" ca="1" si="138"/>
        <v/>
      </c>
      <c r="Z270" s="315" t="str">
        <f t="shared" ca="1" si="139"/>
        <v/>
      </c>
      <c r="AA270" s="316" t="str">
        <f t="shared" ca="1" si="140"/>
        <v/>
      </c>
      <c r="AC270" s="310" t="e">
        <f t="shared" ca="1" si="141"/>
        <v>#N/A</v>
      </c>
      <c r="AD270" s="323" t="e">
        <f t="shared" ca="1" si="142"/>
        <v>#N/A</v>
      </c>
      <c r="AE270" s="324">
        <f t="shared" ca="1" si="121"/>
        <v>1385.3900545564311</v>
      </c>
      <c r="AG270" s="306">
        <f t="shared" ca="1" si="143"/>
        <v>-9.1952647906944502</v>
      </c>
      <c r="AH270" s="304">
        <f t="shared" ca="1" si="144"/>
        <v>-1.3843801898031987</v>
      </c>
    </row>
    <row r="271" spans="1:34" x14ac:dyDescent="0.2">
      <c r="A271" s="347">
        <f t="shared" ca="1" si="122"/>
        <v>0.1</v>
      </c>
      <c r="B271" s="304">
        <f t="shared" ca="1" si="123"/>
        <v>13.299999999999933</v>
      </c>
      <c r="D271" s="306">
        <f t="shared" ca="1" si="124"/>
        <v>-0.81703096128024066</v>
      </c>
      <c r="E271" s="307">
        <f t="shared" ca="1" si="125"/>
        <v>-10.854657501037629</v>
      </c>
      <c r="F271" s="304">
        <f t="shared" ca="1" si="126"/>
        <v>10.885363064984235</v>
      </c>
      <c r="G271" s="306">
        <f t="shared" ca="1" si="127"/>
        <v>26.125196170490355</v>
      </c>
      <c r="H271" s="307">
        <f t="shared" ca="1" si="128"/>
        <v>32.422730628295206</v>
      </c>
      <c r="I271" s="304">
        <f t="shared" ca="1" si="129"/>
        <v>41.638435805654318</v>
      </c>
      <c r="J271" s="306">
        <f t="shared" ca="1" si="130"/>
        <v>425.61671912003868</v>
      </c>
      <c r="K271" s="307">
        <f t="shared" ca="1" si="131"/>
        <v>1388.6866009067658</v>
      </c>
      <c r="L271" s="304">
        <f t="shared" ca="1" si="116"/>
        <v>1452.4462355393721</v>
      </c>
      <c r="M271" s="306">
        <f t="shared" ca="1" si="132"/>
        <v>0.89254824327340954</v>
      </c>
      <c r="N271" s="304">
        <f t="shared" ca="1" si="133"/>
        <v>51.139247351382238</v>
      </c>
      <c r="P271" s="310">
        <f t="shared" ca="1" si="134"/>
        <v>23</v>
      </c>
      <c r="Q271" s="304">
        <f t="shared" ca="1" si="135"/>
        <v>0</v>
      </c>
      <c r="R271" s="306">
        <f t="shared" ca="1" si="136"/>
        <v>0</v>
      </c>
      <c r="S271" s="307">
        <f t="shared" ca="1" si="137"/>
        <v>2.9792999999999985</v>
      </c>
      <c r="T271" s="304">
        <f t="shared" ca="1" si="117"/>
        <v>29.226932999999988</v>
      </c>
      <c r="U271" s="311">
        <f t="shared" ca="1" si="118"/>
        <v>0</v>
      </c>
      <c r="V271" s="306">
        <f t="shared" ca="1" si="119"/>
        <v>1.0659307576615136</v>
      </c>
      <c r="W271" s="304">
        <f t="shared" ca="1" si="120"/>
        <v>3.7843446012323376</v>
      </c>
      <c r="Y271" s="314" t="str">
        <f t="shared" ca="1" si="138"/>
        <v/>
      </c>
      <c r="Z271" s="315" t="str">
        <f t="shared" ca="1" si="139"/>
        <v/>
      </c>
      <c r="AA271" s="316" t="str">
        <f t="shared" ca="1" si="140"/>
        <v/>
      </c>
      <c r="AC271" s="310" t="e">
        <f t="shared" ca="1" si="141"/>
        <v>#N/A</v>
      </c>
      <c r="AD271" s="323" t="e">
        <f t="shared" ca="1" si="142"/>
        <v>#N/A</v>
      </c>
      <c r="AE271" s="324">
        <f t="shared" ca="1" si="121"/>
        <v>1388.6866009067658</v>
      </c>
      <c r="AG271" s="306">
        <f t="shared" ca="1" si="143"/>
        <v>-9.053531962903806</v>
      </c>
      <c r="AH271" s="304">
        <f t="shared" ca="1" si="144"/>
        <v>-1.3262160028308718</v>
      </c>
    </row>
    <row r="272" spans="1:34" x14ac:dyDescent="0.2">
      <c r="A272" s="347">
        <f t="shared" ca="1" si="122"/>
        <v>0.1</v>
      </c>
      <c r="B272" s="304">
        <f t="shared" ca="1" si="123"/>
        <v>13.399999999999933</v>
      </c>
      <c r="D272" s="306">
        <f t="shared" ca="1" si="124"/>
        <v>-0.79696930211052452</v>
      </c>
      <c r="E272" s="307">
        <f t="shared" ca="1" si="125"/>
        <v>-10.799080458294792</v>
      </c>
      <c r="F272" s="304">
        <f t="shared" ca="1" si="126"/>
        <v>10.828448587550804</v>
      </c>
      <c r="G272" s="306">
        <f t="shared" ca="1" si="127"/>
        <v>26.045499240279302</v>
      </c>
      <c r="H272" s="307">
        <f t="shared" ca="1" si="128"/>
        <v>31.342822582465725</v>
      </c>
      <c r="I272" s="304">
        <f t="shared" ca="1" si="129"/>
        <v>40.752184703538447</v>
      </c>
      <c r="J272" s="306">
        <f t="shared" ca="1" si="130"/>
        <v>428.22525389057716</v>
      </c>
      <c r="K272" s="307">
        <f t="shared" ca="1" si="131"/>
        <v>1391.8748785673038</v>
      </c>
      <c r="L272" s="304">
        <f t="shared" ca="1" si="116"/>
        <v>1456.2597795916759</v>
      </c>
      <c r="M272" s="306">
        <f t="shared" ca="1" si="132"/>
        <v>0.87744397194493484</v>
      </c>
      <c r="N272" s="304">
        <f t="shared" ca="1" si="133"/>
        <v>50.273836351640178</v>
      </c>
      <c r="P272" s="310">
        <f t="shared" ca="1" si="134"/>
        <v>23</v>
      </c>
      <c r="Q272" s="304">
        <f t="shared" ca="1" si="135"/>
        <v>0</v>
      </c>
      <c r="R272" s="306">
        <f t="shared" ca="1" si="136"/>
        <v>0</v>
      </c>
      <c r="S272" s="307">
        <f t="shared" ca="1" si="137"/>
        <v>2.9792999999999985</v>
      </c>
      <c r="T272" s="304">
        <f t="shared" ca="1" si="117"/>
        <v>29.226932999999988</v>
      </c>
      <c r="U272" s="311">
        <f t="shared" ca="1" si="118"/>
        <v>0</v>
      </c>
      <c r="V272" s="306">
        <f t="shared" ca="1" si="119"/>
        <v>1.0655893138470769</v>
      </c>
      <c r="W272" s="304">
        <f t="shared" ca="1" si="120"/>
        <v>3.6238024810603853</v>
      </c>
      <c r="Y272" s="314" t="str">
        <f t="shared" ca="1" si="138"/>
        <v/>
      </c>
      <c r="Z272" s="315" t="str">
        <f t="shared" ca="1" si="139"/>
        <v/>
      </c>
      <c r="AA272" s="316" t="str">
        <f t="shared" ca="1" si="140"/>
        <v/>
      </c>
      <c r="AC272" s="310" t="e">
        <f t="shared" ca="1" si="141"/>
        <v>#N/A</v>
      </c>
      <c r="AD272" s="323" t="e">
        <f t="shared" ca="1" si="142"/>
        <v>#N/A</v>
      </c>
      <c r="AE272" s="324">
        <f t="shared" ca="1" si="121"/>
        <v>1391.8748785673038</v>
      </c>
      <c r="AG272" s="306">
        <f t="shared" ca="1" si="143"/>
        <v>-8.9089959532461762</v>
      </c>
      <c r="AH272" s="304">
        <f t="shared" ca="1" si="144"/>
        <v>-1.2702126678187291</v>
      </c>
    </row>
    <row r="273" spans="1:34" x14ac:dyDescent="0.2">
      <c r="A273" s="347">
        <f t="shared" ca="1" si="122"/>
        <v>0.1</v>
      </c>
      <c r="B273" s="304">
        <f t="shared" ca="1" si="123"/>
        <v>13.499999999999932</v>
      </c>
      <c r="D273" s="306">
        <f t="shared" ca="1" si="124"/>
        <v>-0.77737768849358202</v>
      </c>
      <c r="E273" s="307">
        <f t="shared" ca="1" si="125"/>
        <v>-10.745486424938283</v>
      </c>
      <c r="F273" s="304">
        <f t="shared" ca="1" si="126"/>
        <v>10.773569259029273</v>
      </c>
      <c r="G273" s="306">
        <f t="shared" ca="1" si="127"/>
        <v>25.967761471429945</v>
      </c>
      <c r="H273" s="307">
        <f t="shared" ca="1" si="128"/>
        <v>30.268273939971898</v>
      </c>
      <c r="I273" s="304">
        <f t="shared" ca="1" si="129"/>
        <v>39.880985985081459</v>
      </c>
      <c r="J273" s="306">
        <f t="shared" ca="1" si="130"/>
        <v>430.82591692616262</v>
      </c>
      <c r="K273" s="307">
        <f t="shared" ca="1" si="131"/>
        <v>1394.9554333934257</v>
      </c>
      <c r="L273" s="304">
        <f t="shared" ca="1" si="116"/>
        <v>1459.9697366209714</v>
      </c>
      <c r="M273" s="306">
        <f t="shared" ca="1" si="132"/>
        <v>0.86172215257928686</v>
      </c>
      <c r="N273" s="304">
        <f t="shared" ca="1" si="133"/>
        <v>49.373042455721503</v>
      </c>
      <c r="P273" s="310">
        <f t="shared" ca="1" si="134"/>
        <v>23</v>
      </c>
      <c r="Q273" s="304">
        <f t="shared" ca="1" si="135"/>
        <v>0</v>
      </c>
      <c r="R273" s="306">
        <f t="shared" ca="1" si="136"/>
        <v>0</v>
      </c>
      <c r="S273" s="307">
        <f t="shared" ca="1" si="137"/>
        <v>2.9792999999999985</v>
      </c>
      <c r="T273" s="304">
        <f t="shared" ca="1" si="117"/>
        <v>29.226932999999988</v>
      </c>
      <c r="U273" s="311">
        <f t="shared" ca="1" si="118"/>
        <v>0</v>
      </c>
      <c r="V273" s="306">
        <f t="shared" ca="1" si="119"/>
        <v>1.0652595031126073</v>
      </c>
      <c r="W273" s="304">
        <f t="shared" ca="1" si="120"/>
        <v>3.4694454258755889</v>
      </c>
      <c r="Y273" s="314" t="str">
        <f t="shared" ca="1" si="138"/>
        <v/>
      </c>
      <c r="Z273" s="315" t="str">
        <f t="shared" ca="1" si="139"/>
        <v/>
      </c>
      <c r="AA273" s="316" t="str">
        <f t="shared" ca="1" si="140"/>
        <v/>
      </c>
      <c r="AC273" s="310" t="e">
        <f t="shared" ca="1" si="141"/>
        <v>#N/A</v>
      </c>
      <c r="AD273" s="323" t="e">
        <f t="shared" ca="1" si="142"/>
        <v>#N/A</v>
      </c>
      <c r="AE273" s="324">
        <f t="shared" ca="1" si="121"/>
        <v>1394.9554333934257</v>
      </c>
      <c r="AG273" s="306">
        <f t="shared" ca="1" si="143"/>
        <v>-8.7612742033730253</v>
      </c>
      <c r="AH273" s="304">
        <f t="shared" ca="1" si="144"/>
        <v>-1.2163268153795814</v>
      </c>
    </row>
    <row r="274" spans="1:34" x14ac:dyDescent="0.2">
      <c r="A274" s="347">
        <f t="shared" ca="1" si="122"/>
        <v>0.1</v>
      </c>
      <c r="B274" s="304">
        <f t="shared" ca="1" si="123"/>
        <v>13.599999999999932</v>
      </c>
      <c r="D274" s="306">
        <f t="shared" ca="1" si="124"/>
        <v>-0.75825354636981246</v>
      </c>
      <c r="E274" s="307">
        <f t="shared" ca="1" si="125"/>
        <v>-10.693827667730531</v>
      </c>
      <c r="F274" s="304">
        <f t="shared" ca="1" si="126"/>
        <v>10.720676220635591</v>
      </c>
      <c r="G274" s="306">
        <f t="shared" ca="1" si="127"/>
        <v>25.891936116792962</v>
      </c>
      <c r="H274" s="307">
        <f t="shared" ca="1" si="128"/>
        <v>29.198891173198845</v>
      </c>
      <c r="I274" s="304">
        <f t="shared" ca="1" si="129"/>
        <v>39.025217508944102</v>
      </c>
      <c r="J274" s="306">
        <f t="shared" ca="1" si="130"/>
        <v>433.41890180557374</v>
      </c>
      <c r="K274" s="307">
        <f t="shared" ca="1" si="131"/>
        <v>1397.9287916490841</v>
      </c>
      <c r="L274" s="304">
        <f t="shared" ca="1" si="116"/>
        <v>1463.5767321749202</v>
      </c>
      <c r="M274" s="306">
        <f t="shared" ca="1" si="132"/>
        <v>0.8453535465811316</v>
      </c>
      <c r="N274" s="304">
        <f t="shared" ca="1" si="133"/>
        <v>48.435190415514683</v>
      </c>
      <c r="P274" s="310">
        <f t="shared" ca="1" si="134"/>
        <v>23</v>
      </c>
      <c r="Q274" s="304">
        <f t="shared" ca="1" si="135"/>
        <v>0</v>
      </c>
      <c r="R274" s="306">
        <f t="shared" ca="1" si="136"/>
        <v>0</v>
      </c>
      <c r="S274" s="307">
        <f t="shared" ca="1" si="137"/>
        <v>2.9792999999999985</v>
      </c>
      <c r="T274" s="304">
        <f t="shared" ca="1" si="117"/>
        <v>29.226932999999988</v>
      </c>
      <c r="U274" s="311">
        <f t="shared" ca="1" si="118"/>
        <v>0</v>
      </c>
      <c r="V274" s="306">
        <f t="shared" ca="1" si="119"/>
        <v>1.0649412591335994</v>
      </c>
      <c r="W274" s="304">
        <f t="shared" ca="1" si="120"/>
        <v>3.3211553249433345</v>
      </c>
      <c r="Y274" s="314" t="str">
        <f t="shared" ca="1" si="138"/>
        <v/>
      </c>
      <c r="Z274" s="315" t="str">
        <f t="shared" ca="1" si="139"/>
        <v/>
      </c>
      <c r="AA274" s="316" t="str">
        <f t="shared" ca="1" si="140"/>
        <v/>
      </c>
      <c r="AC274" s="310" t="e">
        <f t="shared" ca="1" si="141"/>
        <v>#N/A</v>
      </c>
      <c r="AD274" s="323" t="e">
        <f t="shared" ca="1" si="142"/>
        <v>#N/A</v>
      </c>
      <c r="AE274" s="324">
        <f t="shared" ca="1" si="121"/>
        <v>1397.9287916490841</v>
      </c>
      <c r="AG274" s="306">
        <f t="shared" ca="1" si="143"/>
        <v>-8.6099639730362689</v>
      </c>
      <c r="AH274" s="304">
        <f t="shared" ca="1" si="144"/>
        <v>-1.1645169757579266</v>
      </c>
    </row>
    <row r="275" spans="1:34" x14ac:dyDescent="0.2">
      <c r="A275" s="347">
        <f t="shared" ca="1" si="122"/>
        <v>0.1</v>
      </c>
      <c r="B275" s="304">
        <f t="shared" ca="1" si="123"/>
        <v>13.699999999999932</v>
      </c>
      <c r="D275" s="306">
        <f t="shared" ca="1" si="124"/>
        <v>-0.73959530438933918</v>
      </c>
      <c r="E275" s="307">
        <f t="shared" ca="1" si="125"/>
        <v>-10.644057472861865</v>
      </c>
      <c r="F275" s="304">
        <f t="shared" ca="1" si="126"/>
        <v>10.669721678650351</v>
      </c>
      <c r="G275" s="306">
        <f t="shared" ca="1" si="127"/>
        <v>25.817976586354028</v>
      </c>
      <c r="H275" s="307">
        <f t="shared" ca="1" si="128"/>
        <v>28.134485425912658</v>
      </c>
      <c r="I275" s="304">
        <f t="shared" ca="1" si="129"/>
        <v>38.185300642975392</v>
      </c>
      <c r="J275" s="306">
        <f t="shared" ca="1" si="130"/>
        <v>436.00439744073111</v>
      </c>
      <c r="K275" s="307">
        <f t="shared" ca="1" si="131"/>
        <v>1400.7954604790398</v>
      </c>
      <c r="L275" s="304">
        <f t="shared" ca="1" si="116"/>
        <v>1467.0813735735112</v>
      </c>
      <c r="M275" s="306">
        <f t="shared" ca="1" si="132"/>
        <v>0.82830791808965998</v>
      </c>
      <c r="N275" s="304">
        <f t="shared" ca="1" si="133"/>
        <v>47.458547843805412</v>
      </c>
      <c r="P275" s="310">
        <f t="shared" ca="1" si="134"/>
        <v>23</v>
      </c>
      <c r="Q275" s="304">
        <f t="shared" ca="1" si="135"/>
        <v>0</v>
      </c>
      <c r="R275" s="306">
        <f t="shared" ca="1" si="136"/>
        <v>0</v>
      </c>
      <c r="S275" s="307">
        <f t="shared" ca="1" si="137"/>
        <v>2.9792999999999985</v>
      </c>
      <c r="T275" s="304">
        <f t="shared" ca="1" si="117"/>
        <v>29.226932999999988</v>
      </c>
      <c r="U275" s="311">
        <f t="shared" ca="1" si="118"/>
        <v>0</v>
      </c>
      <c r="V275" s="306">
        <f t="shared" ca="1" si="119"/>
        <v>1.0646345180481052</v>
      </c>
      <c r="W275" s="304">
        <f t="shared" ca="1" si="120"/>
        <v>3.1788192982865571</v>
      </c>
      <c r="Y275" s="314" t="str">
        <f t="shared" ca="1" si="138"/>
        <v/>
      </c>
      <c r="Z275" s="315" t="str">
        <f t="shared" ca="1" si="139"/>
        <v/>
      </c>
      <c r="AA275" s="316" t="str">
        <f t="shared" ca="1" si="140"/>
        <v/>
      </c>
      <c r="AC275" s="310" t="e">
        <f t="shared" ca="1" si="141"/>
        <v>#N/A</v>
      </c>
      <c r="AD275" s="323" t="e">
        <f t="shared" ca="1" si="142"/>
        <v>#N/A</v>
      </c>
      <c r="AE275" s="324">
        <f t="shared" ca="1" si="121"/>
        <v>1400.7954604790398</v>
      </c>
      <c r="AG275" s="306">
        <f t="shared" ca="1" si="143"/>
        <v>-8.4546416708446852</v>
      </c>
      <c r="AH275" s="304">
        <f t="shared" ca="1" si="144"/>
        <v>-1.1147435051667627</v>
      </c>
    </row>
    <row r="276" spans="1:34" x14ac:dyDescent="0.2">
      <c r="A276" s="347">
        <f t="shared" ca="1" si="122"/>
        <v>0.1</v>
      </c>
      <c r="B276" s="304">
        <f t="shared" ca="1" si="123"/>
        <v>13.799999999999931</v>
      </c>
      <c r="D276" s="306">
        <f t="shared" ca="1" si="124"/>
        <v>-0.72140241632799551</v>
      </c>
      <c r="E276" s="307">
        <f t="shared" ca="1" si="125"/>
        <v>-10.59612999359236</v>
      </c>
      <c r="F276" s="304">
        <f t="shared" ca="1" si="126"/>
        <v>10.620658750161946</v>
      </c>
      <c r="G276" s="306">
        <f t="shared" ca="1" si="127"/>
        <v>25.74583634472123</v>
      </c>
      <c r="H276" s="307">
        <f t="shared" ca="1" si="128"/>
        <v>27.074872426553423</v>
      </c>
      <c r="I276" s="304">
        <f t="shared" ca="1" si="129"/>
        <v>37.361702397017609</v>
      </c>
      <c r="J276" s="306">
        <f t="shared" ca="1" si="130"/>
        <v>438.58258808728488</v>
      </c>
      <c r="K276" s="307">
        <f t="shared" ca="1" si="131"/>
        <v>1403.5559283716632</v>
      </c>
      <c r="L276" s="304">
        <f t="shared" ca="1" si="116"/>
        <v>1470.484250388484</v>
      </c>
      <c r="M276" s="306">
        <f t="shared" ca="1" si="132"/>
        <v>0.81055412500753543</v>
      </c>
      <c r="N276" s="304">
        <f t="shared" ca="1" si="133"/>
        <v>46.441330429851114</v>
      </c>
      <c r="P276" s="310">
        <f t="shared" ca="1" si="134"/>
        <v>23</v>
      </c>
      <c r="Q276" s="304">
        <f t="shared" ca="1" si="135"/>
        <v>0</v>
      </c>
      <c r="R276" s="306">
        <f t="shared" ca="1" si="136"/>
        <v>0</v>
      </c>
      <c r="S276" s="307">
        <f t="shared" ca="1" si="137"/>
        <v>2.9792999999999985</v>
      </c>
      <c r="T276" s="304">
        <f t="shared" ca="1" si="117"/>
        <v>29.226932999999988</v>
      </c>
      <c r="U276" s="311">
        <f t="shared" ca="1" si="118"/>
        <v>0</v>
      </c>
      <c r="V276" s="306">
        <f t="shared" ca="1" si="119"/>
        <v>1.0643392183981746</v>
      </c>
      <c r="W276" s="304">
        <f t="shared" ca="1" si="120"/>
        <v>3.0423294967157406</v>
      </c>
      <c r="Y276" s="314" t="str">
        <f t="shared" ca="1" si="138"/>
        <v/>
      </c>
      <c r="Z276" s="315" t="str">
        <f t="shared" ca="1" si="139"/>
        <v/>
      </c>
      <c r="AA276" s="316" t="str">
        <f t="shared" ca="1" si="140"/>
        <v/>
      </c>
      <c r="AC276" s="310" t="e">
        <f t="shared" ca="1" si="141"/>
        <v>#N/A</v>
      </c>
      <c r="AD276" s="323" t="e">
        <f t="shared" ca="1" si="142"/>
        <v>#N/A</v>
      </c>
      <c r="AE276" s="324">
        <f t="shared" ca="1" si="121"/>
        <v>1403.5559283716632</v>
      </c>
      <c r="AG276" s="306">
        <f t="shared" ca="1" si="143"/>
        <v>-8.2948624270728075</v>
      </c>
      <c r="AH276" s="304">
        <f t="shared" ca="1" si="144"/>
        <v>-1.0669685155192692</v>
      </c>
    </row>
    <row r="277" spans="1:34" x14ac:dyDescent="0.2">
      <c r="A277" s="347">
        <f t="shared" ca="1" si="122"/>
        <v>0.1</v>
      </c>
      <c r="B277" s="304">
        <f t="shared" ca="1" si="123"/>
        <v>13.899999999999931</v>
      </c>
      <c r="D277" s="306">
        <f t="shared" ca="1" si="124"/>
        <v>-0.70367538443693012</v>
      </c>
      <c r="E277" s="307">
        <f t="shared" ca="1" si="125"/>
        <v>-10.550000091985442</v>
      </c>
      <c r="F277" s="304">
        <f t="shared" ca="1" si="126"/>
        <v>10.573441302979617</v>
      </c>
      <c r="G277" s="306">
        <f t="shared" ca="1" si="127"/>
        <v>25.675468806277536</v>
      </c>
      <c r="H277" s="307">
        <f t="shared" ca="1" si="128"/>
        <v>26.019872417354879</v>
      </c>
      <c r="I277" s="304">
        <f t="shared" ca="1" si="129"/>
        <v>36.554937546623655</v>
      </c>
      <c r="J277" s="306">
        <f t="shared" ca="1" si="130"/>
        <v>441.15365334483482</v>
      </c>
      <c r="K277" s="307">
        <f t="shared" ca="1" si="131"/>
        <v>1406.2106656138585</v>
      </c>
      <c r="L277" s="304">
        <f t="shared" ca="1" si="116"/>
        <v>1473.7859349124165</v>
      </c>
      <c r="M277" s="306">
        <f t="shared" ca="1" si="132"/>
        <v>0.79206024372523853</v>
      </c>
      <c r="N277" s="304">
        <f t="shared" ca="1" si="133"/>
        <v>45.381709085559514</v>
      </c>
      <c r="P277" s="310">
        <f t="shared" ca="1" si="134"/>
        <v>23</v>
      </c>
      <c r="Q277" s="304">
        <f t="shared" ca="1" si="135"/>
        <v>0</v>
      </c>
      <c r="R277" s="306">
        <f t="shared" ca="1" si="136"/>
        <v>0</v>
      </c>
      <c r="S277" s="307">
        <f t="shared" ca="1" si="137"/>
        <v>2.9792999999999985</v>
      </c>
      <c r="T277" s="304">
        <f t="shared" ca="1" si="117"/>
        <v>29.226932999999988</v>
      </c>
      <c r="U277" s="311">
        <f t="shared" ca="1" si="118"/>
        <v>0</v>
      </c>
      <c r="V277" s="306">
        <f t="shared" ca="1" si="119"/>
        <v>1.0640553010725895</v>
      </c>
      <c r="W277" s="304">
        <f t="shared" ca="1" si="120"/>
        <v>2.9115829105286077</v>
      </c>
      <c r="Y277" s="314" t="str">
        <f t="shared" ca="1" si="138"/>
        <v/>
      </c>
      <c r="Z277" s="315" t="str">
        <f t="shared" ca="1" si="139"/>
        <v/>
      </c>
      <c r="AA277" s="316" t="str">
        <f t="shared" ca="1" si="140"/>
        <v/>
      </c>
      <c r="AC277" s="310" t="e">
        <f t="shared" ca="1" si="141"/>
        <v>#N/A</v>
      </c>
      <c r="AD277" s="323" t="e">
        <f t="shared" ca="1" si="142"/>
        <v>#N/A</v>
      </c>
      <c r="AE277" s="324">
        <f t="shared" ca="1" si="121"/>
        <v>1406.2106656138585</v>
      </c>
      <c r="AG277" s="306">
        <f t="shared" ca="1" si="143"/>
        <v>-8.1301599870995709</v>
      </c>
      <c r="AH277" s="304">
        <f t="shared" ca="1" si="144"/>
        <v>-1.021155807309013</v>
      </c>
    </row>
    <row r="278" spans="1:34" x14ac:dyDescent="0.2">
      <c r="A278" s="347">
        <f t="shared" ca="1" si="122"/>
        <v>0.1</v>
      </c>
      <c r="B278" s="304">
        <f t="shared" ca="1" si="123"/>
        <v>13.999999999999931</v>
      </c>
      <c r="D278" s="306">
        <f t="shared" ca="1" si="124"/>
        <v>-0.68641578302065387</v>
      </c>
      <c r="E278" s="307">
        <f t="shared" ca="1" si="125"/>
        <v>-10.505623173785608</v>
      </c>
      <c r="F278" s="304">
        <f t="shared" ca="1" si="126"/>
        <v>10.528023788763067</v>
      </c>
      <c r="G278" s="306">
        <f t="shared" ca="1" si="127"/>
        <v>25.606827227975469</v>
      </c>
      <c r="H278" s="307">
        <f t="shared" ca="1" si="128"/>
        <v>24.969310099976319</v>
      </c>
      <c r="I278" s="304">
        <f t="shared" ca="1" si="129"/>
        <v>35.76557070077542</v>
      </c>
      <c r="J278" s="306">
        <f t="shared" ca="1" si="130"/>
        <v>443.71776814654748</v>
      </c>
      <c r="K278" s="307">
        <f t="shared" ca="1" si="131"/>
        <v>1408.7601247397251</v>
      </c>
      <c r="L278" s="304">
        <f t="shared" ca="1" si="116"/>
        <v>1476.9869826188853</v>
      </c>
      <c r="M278" s="306">
        <f t="shared" ca="1" si="132"/>
        <v>0.7727937337160008</v>
      </c>
      <c r="N278" s="304">
        <f t="shared" ca="1" si="133"/>
        <v>44.277819376083634</v>
      </c>
      <c r="P278" s="310">
        <f t="shared" ca="1" si="134"/>
        <v>23</v>
      </c>
      <c r="Q278" s="304">
        <f t="shared" ca="1" si="135"/>
        <v>0</v>
      </c>
      <c r="R278" s="306">
        <f t="shared" ca="1" si="136"/>
        <v>0</v>
      </c>
      <c r="S278" s="307">
        <f t="shared" ca="1" si="137"/>
        <v>2.9792999999999985</v>
      </c>
      <c r="T278" s="304">
        <f t="shared" ca="1" si="117"/>
        <v>29.226932999999988</v>
      </c>
      <c r="U278" s="311">
        <f t="shared" ca="1" si="118"/>
        <v>0</v>
      </c>
      <c r="V278" s="306">
        <f t="shared" ca="1" si="119"/>
        <v>1.0637827092506935</v>
      </c>
      <c r="W278" s="304">
        <f t="shared" ca="1" si="120"/>
        <v>2.7864811861878209</v>
      </c>
      <c r="Y278" s="314" t="str">
        <f t="shared" ca="1" si="138"/>
        <v/>
      </c>
      <c r="Z278" s="315" t="str">
        <f t="shared" ca="1" si="139"/>
        <v/>
      </c>
      <c r="AA278" s="316" t="str">
        <f t="shared" ca="1" si="140"/>
        <v/>
      </c>
      <c r="AC278" s="310">
        <f t="shared" ca="1" si="141"/>
        <v>13.999999999999931</v>
      </c>
      <c r="AD278" s="323">
        <f t="shared" ca="1" si="142"/>
        <v>443.71776814654748</v>
      </c>
      <c r="AE278" s="324">
        <f t="shared" ca="1" si="121"/>
        <v>1408.7601247397251</v>
      </c>
      <c r="AG278" s="306">
        <f t="shared" ca="1" si="143"/>
        <v>-7.960047019658159</v>
      </c>
      <c r="AH278" s="304">
        <f t="shared" ca="1" si="144"/>
        <v>-0.97727080540013067</v>
      </c>
    </row>
    <row r="279" spans="1:34" x14ac:dyDescent="0.2">
      <c r="A279" s="347">
        <f t="shared" ca="1" si="122"/>
        <v>0.1</v>
      </c>
      <c r="B279" s="304">
        <f t="shared" ca="1" si="123"/>
        <v>14.09999999999993</v>
      </c>
      <c r="D279" s="306">
        <f t="shared" ca="1" si="124"/>
        <v>-0.66962628135942182</v>
      </c>
      <c r="E279" s="307">
        <f t="shared" ca="1" si="125"/>
        <v>-10.462955015531588</v>
      </c>
      <c r="F279" s="304">
        <f t="shared" ca="1" si="126"/>
        <v>10.484361068454522</v>
      </c>
      <c r="G279" s="306">
        <f t="shared" ca="1" si="127"/>
        <v>25.539864599839525</v>
      </c>
      <c r="H279" s="307">
        <f t="shared" ca="1" si="128"/>
        <v>23.923014598423158</v>
      </c>
      <c r="I279" s="304">
        <f t="shared" ca="1" si="129"/>
        <v>34.994218254656062</v>
      </c>
      <c r="J279" s="306">
        <f t="shared" ca="1" si="130"/>
        <v>446.27510273793825</v>
      </c>
      <c r="K279" s="307">
        <f t="shared" ca="1" si="131"/>
        <v>1411.2047409746451</v>
      </c>
      <c r="L279" s="304">
        <f t="shared" ca="1" si="116"/>
        <v>1480.0879326151785</v>
      </c>
      <c r="M279" s="306">
        <f t="shared" ca="1" si="132"/>
        <v>0.75272164880102987</v>
      </c>
      <c r="N279" s="304">
        <f t="shared" ca="1" si="133"/>
        <v>43.127773624427597</v>
      </c>
      <c r="P279" s="310">
        <f t="shared" ca="1" si="134"/>
        <v>23</v>
      </c>
      <c r="Q279" s="304">
        <f t="shared" ca="1" si="135"/>
        <v>0</v>
      </c>
      <c r="R279" s="306">
        <f t="shared" ca="1" si="136"/>
        <v>0</v>
      </c>
      <c r="S279" s="307">
        <f t="shared" ca="1" si="137"/>
        <v>2.9792999999999985</v>
      </c>
      <c r="T279" s="304">
        <f t="shared" ca="1" si="117"/>
        <v>29.226932999999988</v>
      </c>
      <c r="U279" s="311">
        <f t="shared" ca="1" si="118"/>
        <v>0</v>
      </c>
      <c r="V279" s="306">
        <f t="shared" ca="1" si="119"/>
        <v>1.0635213883471326</v>
      </c>
      <c r="W279" s="304">
        <f t="shared" ca="1" si="120"/>
        <v>2.6669304503005202</v>
      </c>
      <c r="Y279" s="314" t="str">
        <f t="shared" ca="1" si="138"/>
        <v/>
      </c>
      <c r="Z279" s="315" t="str">
        <f t="shared" ca="1" si="139"/>
        <v/>
      </c>
      <c r="AA279" s="316" t="str">
        <f t="shared" ca="1" si="140"/>
        <v/>
      </c>
      <c r="AC279" s="310" t="e">
        <f t="shared" ca="1" si="141"/>
        <v>#N/A</v>
      </c>
      <c r="AD279" s="323" t="e">
        <f t="shared" ca="1" si="142"/>
        <v>#N/A</v>
      </c>
      <c r="AE279" s="324">
        <f t="shared" ca="1" si="121"/>
        <v>1411.2047409746451</v>
      </c>
      <c r="AG279" s="306">
        <f t="shared" ca="1" si="143"/>
        <v>-7.7840159512107912</v>
      </c>
      <c r="AH279" s="304">
        <f t="shared" ca="1" si="144"/>
        <v>-0.93528049749532516</v>
      </c>
    </row>
    <row r="280" spans="1:34" x14ac:dyDescent="0.2">
      <c r="A280" s="347">
        <f t="shared" ca="1" si="122"/>
        <v>0.1</v>
      </c>
      <c r="B280" s="304">
        <f t="shared" ca="1" si="123"/>
        <v>14.19999999999993</v>
      </c>
      <c r="D280" s="306">
        <f t="shared" ca="1" si="124"/>
        <v>-0.65331066488233402</v>
      </c>
      <c r="E280" s="307">
        <f t="shared" ca="1" si="125"/>
        <v>-10.421951583070799</v>
      </c>
      <c r="F280" s="304">
        <f t="shared" ca="1" si="126"/>
        <v>10.442408229174003</v>
      </c>
      <c r="G280" s="306">
        <f t="shared" ca="1" si="127"/>
        <v>25.474533533351291</v>
      </c>
      <c r="H280" s="307">
        <f t="shared" ca="1" si="128"/>
        <v>22.880819440116078</v>
      </c>
      <c r="I280" s="304">
        <f t="shared" ca="1" si="129"/>
        <v>34.241550154644479</v>
      </c>
      <c r="J280" s="306">
        <f t="shared" ca="1" si="130"/>
        <v>448.82582264459779</v>
      </c>
      <c r="K280" s="307">
        <f t="shared" ca="1" si="131"/>
        <v>1413.544932676572</v>
      </c>
      <c r="L280" s="304">
        <f t="shared" ca="1" si="116"/>
        <v>1483.089308089103</v>
      </c>
      <c r="M280" s="306">
        <f t="shared" ca="1" si="132"/>
        <v>0.73181090242074698</v>
      </c>
      <c r="N280" s="304">
        <f t="shared" ca="1" si="133"/>
        <v>41.929676110368924</v>
      </c>
      <c r="P280" s="310">
        <f t="shared" ca="1" si="134"/>
        <v>23</v>
      </c>
      <c r="Q280" s="304">
        <f t="shared" ca="1" si="135"/>
        <v>0</v>
      </c>
      <c r="R280" s="306">
        <f t="shared" ca="1" si="136"/>
        <v>0</v>
      </c>
      <c r="S280" s="307">
        <f t="shared" ca="1" si="137"/>
        <v>2.9792999999999985</v>
      </c>
      <c r="T280" s="304">
        <f t="shared" ca="1" si="117"/>
        <v>29.226932999999988</v>
      </c>
      <c r="U280" s="311">
        <f t="shared" ca="1" si="118"/>
        <v>0</v>
      </c>
      <c r="V280" s="306">
        <f t="shared" ca="1" si="119"/>
        <v>1.0632712859572886</v>
      </c>
      <c r="W280" s="304">
        <f t="shared" ca="1" si="120"/>
        <v>2.5528411402355027</v>
      </c>
      <c r="Y280" s="314" t="str">
        <f t="shared" ca="1" si="138"/>
        <v/>
      </c>
      <c r="Z280" s="315" t="str">
        <f t="shared" ca="1" si="139"/>
        <v/>
      </c>
      <c r="AA280" s="316" t="str">
        <f t="shared" ca="1" si="140"/>
        <v/>
      </c>
      <c r="AC280" s="310" t="e">
        <f t="shared" ca="1" si="141"/>
        <v>#N/A</v>
      </c>
      <c r="AD280" s="323" t="e">
        <f t="shared" ca="1" si="142"/>
        <v>#N/A</v>
      </c>
      <c r="AE280" s="324">
        <f t="shared" ca="1" si="121"/>
        <v>1413.544932676572</v>
      </c>
      <c r="AG280" s="306">
        <f t="shared" ca="1" si="143"/>
        <v>-7.6015404559921755</v>
      </c>
      <c r="AH280" s="304">
        <f t="shared" ca="1" si="144"/>
        <v>-0.89515337505471804</v>
      </c>
    </row>
    <row r="281" spans="1:34" x14ac:dyDescent="0.2">
      <c r="A281" s="347">
        <f t="shared" ca="1" si="122"/>
        <v>0.1</v>
      </c>
      <c r="B281" s="304">
        <f t="shared" ca="1" si="123"/>
        <v>14.29999999999993</v>
      </c>
      <c r="D281" s="306">
        <f t="shared" ca="1" si="124"/>
        <v>-0.63747385325641637</v>
      </c>
      <c r="E281" s="307">
        <f t="shared" ca="1" si="125"/>
        <v>-10.382568840762451</v>
      </c>
      <c r="F281" s="304">
        <f t="shared" ca="1" si="126"/>
        <v>10.40212039186035</v>
      </c>
      <c r="G281" s="306">
        <f t="shared" ca="1" si="127"/>
        <v>25.41078614802565</v>
      </c>
      <c r="H281" s="307">
        <f t="shared" ca="1" si="128"/>
        <v>21.842562556039834</v>
      </c>
      <c r="I281" s="304">
        <f t="shared" ca="1" si="129"/>
        <v>33.508291386986677</v>
      </c>
      <c r="J281" s="306">
        <f t="shared" ca="1" si="130"/>
        <v>451.37008862866662</v>
      </c>
      <c r="K281" s="307">
        <f t="shared" ca="1" si="131"/>
        <v>1415.7811017763797</v>
      </c>
      <c r="L281" s="304">
        <f t="shared" ca="1" si="116"/>
        <v>1485.9916167515178</v>
      </c>
      <c r="M281" s="306">
        <f t="shared" ca="1" si="132"/>
        <v>0.7100285946226883</v>
      </c>
      <c r="N281" s="304">
        <f t="shared" ca="1" si="133"/>
        <v>40.681641805485256</v>
      </c>
      <c r="P281" s="310">
        <f t="shared" ca="1" si="134"/>
        <v>23</v>
      </c>
      <c r="Q281" s="304">
        <f t="shared" ca="1" si="135"/>
        <v>0</v>
      </c>
      <c r="R281" s="306">
        <f t="shared" ca="1" si="136"/>
        <v>0</v>
      </c>
      <c r="S281" s="307">
        <f t="shared" ca="1" si="137"/>
        <v>2.9792999999999985</v>
      </c>
      <c r="T281" s="304">
        <f t="shared" ca="1" si="117"/>
        <v>29.226932999999988</v>
      </c>
      <c r="U281" s="311">
        <f t="shared" ca="1" si="118"/>
        <v>0</v>
      </c>
      <c r="V281" s="306">
        <f t="shared" ca="1" si="119"/>
        <v>1.063032351803203</v>
      </c>
      <c r="W281" s="304">
        <f t="shared" ca="1" si="120"/>
        <v>2.4441278407226616</v>
      </c>
      <c r="Y281" s="314" t="str">
        <f t="shared" ca="1" si="138"/>
        <v/>
      </c>
      <c r="Z281" s="315" t="str">
        <f t="shared" ca="1" si="139"/>
        <v/>
      </c>
      <c r="AA281" s="316" t="str">
        <f t="shared" ca="1" si="140"/>
        <v/>
      </c>
      <c r="AC281" s="310" t="e">
        <f t="shared" ca="1" si="141"/>
        <v>#N/A</v>
      </c>
      <c r="AD281" s="323" t="e">
        <f t="shared" ca="1" si="142"/>
        <v>#N/A</v>
      </c>
      <c r="AE281" s="324">
        <f t="shared" ca="1" si="121"/>
        <v>1415.7811017763797</v>
      </c>
      <c r="AG281" s="306">
        <f t="shared" ca="1" si="143"/>
        <v>-7.4120777498459995</v>
      </c>
      <c r="AH281" s="304">
        <f t="shared" ca="1" si="144"/>
        <v>-0.85685937644262211</v>
      </c>
    </row>
    <row r="282" spans="1:34" x14ac:dyDescent="0.2">
      <c r="A282" s="347">
        <f t="shared" ca="1" si="122"/>
        <v>0.1</v>
      </c>
      <c r="B282" s="304">
        <f t="shared" ca="1" si="123"/>
        <v>14.399999999999929</v>
      </c>
      <c r="D282" s="306">
        <f t="shared" ca="1" si="124"/>
        <v>-0.62212191378489001</v>
      </c>
      <c r="E282" s="307">
        <f t="shared" ca="1" si="125"/>
        <v>-10.344762550838496</v>
      </c>
      <c r="F282" s="304">
        <f t="shared" ca="1" si="126"/>
        <v>10.363452509122718</v>
      </c>
      <c r="G282" s="306">
        <f t="shared" ca="1" si="127"/>
        <v>25.348573956647162</v>
      </c>
      <c r="H282" s="307">
        <f t="shared" ca="1" si="128"/>
        <v>20.808086300955985</v>
      </c>
      <c r="I282" s="304">
        <f t="shared" ca="1" si="129"/>
        <v>32.795223084218264</v>
      </c>
      <c r="J282" s="306">
        <f t="shared" ca="1" si="130"/>
        <v>453.90805663390029</v>
      </c>
      <c r="K282" s="307">
        <f t="shared" ca="1" si="131"/>
        <v>1417.9136342192296</v>
      </c>
      <c r="L282" s="304">
        <f t="shared" ca="1" si="116"/>
        <v>1488.7953512763088</v>
      </c>
      <c r="M282" s="306">
        <f t="shared" ca="1" si="132"/>
        <v>0.68734240859555129</v>
      </c>
      <c r="N282" s="304">
        <f t="shared" ca="1" si="133"/>
        <v>39.381819092881649</v>
      </c>
      <c r="P282" s="310">
        <f t="shared" ca="1" si="134"/>
        <v>23</v>
      </c>
      <c r="Q282" s="304">
        <f t="shared" ca="1" si="135"/>
        <v>0</v>
      </c>
      <c r="R282" s="306">
        <f t="shared" ca="1" si="136"/>
        <v>0</v>
      </c>
      <c r="S282" s="307">
        <f t="shared" ca="1" si="137"/>
        <v>2.9792999999999985</v>
      </c>
      <c r="T282" s="304">
        <f t="shared" ca="1" si="117"/>
        <v>29.226932999999988</v>
      </c>
      <c r="U282" s="311">
        <f t="shared" ca="1" si="118"/>
        <v>0</v>
      </c>
      <c r="V282" s="306">
        <f t="shared" ca="1" si="119"/>
        <v>1.0628045376797624</v>
      </c>
      <c r="W282" s="304">
        <f t="shared" ca="1" si="120"/>
        <v>2.3407091257854749</v>
      </c>
      <c r="Y282" s="314" t="str">
        <f t="shared" ca="1" si="138"/>
        <v/>
      </c>
      <c r="Z282" s="315" t="str">
        <f t="shared" ca="1" si="139"/>
        <v/>
      </c>
      <c r="AA282" s="316" t="str">
        <f t="shared" ca="1" si="140"/>
        <v/>
      </c>
      <c r="AC282" s="310" t="e">
        <f t="shared" ca="1" si="141"/>
        <v>#N/A</v>
      </c>
      <c r="AD282" s="323" t="e">
        <f t="shared" ca="1" si="142"/>
        <v>#N/A</v>
      </c>
      <c r="AE282" s="324">
        <f t="shared" ca="1" si="121"/>
        <v>1417.9136342192296</v>
      </c>
      <c r="AG282" s="306">
        <f t="shared" ca="1" si="143"/>
        <v>-7.2150718537426943</v>
      </c>
      <c r="AH282" s="304">
        <f t="shared" ca="1" si="144"/>
        <v>-0.82036983208225522</v>
      </c>
    </row>
    <row r="283" spans="1:34" x14ac:dyDescent="0.2">
      <c r="A283" s="347">
        <f t="shared" ca="1" si="122"/>
        <v>0.1</v>
      </c>
      <c r="B283" s="304">
        <f t="shared" ca="1" si="123"/>
        <v>14.499999999999929</v>
      </c>
      <c r="D283" s="306">
        <f t="shared" ca="1" si="124"/>
        <v>-0.60726206820824769</v>
      </c>
      <c r="E283" s="307">
        <f t="shared" ca="1" si="125"/>
        <v>-10.308488062649406</v>
      </c>
      <c r="F283" s="304">
        <f t="shared" ca="1" si="126"/>
        <v>10.326359153025322</v>
      </c>
      <c r="G283" s="306">
        <f t="shared" ca="1" si="127"/>
        <v>25.287847749826337</v>
      </c>
      <c r="H283" s="307">
        <f t="shared" ca="1" si="128"/>
        <v>19.777237494691043</v>
      </c>
      <c r="I283" s="304">
        <f t="shared" ca="1" si="129"/>
        <v>32.103183124727842</v>
      </c>
      <c r="J283" s="306">
        <f t="shared" ca="1" si="130"/>
        <v>456.43987771922394</v>
      </c>
      <c r="K283" s="307">
        <f t="shared" ca="1" si="131"/>
        <v>1419.9429004090121</v>
      </c>
      <c r="L283" s="304">
        <f t="shared" ca="1" si="116"/>
        <v>1491.5009897396305</v>
      </c>
      <c r="M283" s="306">
        <f t="shared" ca="1" si="132"/>
        <v>0.66372108432185972</v>
      </c>
      <c r="N283" s="304">
        <f t="shared" ca="1" si="133"/>
        <v>38.028416905489195</v>
      </c>
      <c r="P283" s="310">
        <f t="shared" ca="1" si="134"/>
        <v>23</v>
      </c>
      <c r="Q283" s="304">
        <f t="shared" ca="1" si="135"/>
        <v>0</v>
      </c>
      <c r="R283" s="306">
        <f t="shared" ca="1" si="136"/>
        <v>0</v>
      </c>
      <c r="S283" s="307">
        <f t="shared" ca="1" si="137"/>
        <v>2.9792999999999985</v>
      </c>
      <c r="T283" s="304">
        <f t="shared" ca="1" si="117"/>
        <v>29.226932999999988</v>
      </c>
      <c r="U283" s="311">
        <f t="shared" ca="1" si="118"/>
        <v>0</v>
      </c>
      <c r="V283" s="306">
        <f t="shared" ca="1" si="119"/>
        <v>1.0625877974009141</v>
      </c>
      <c r="W283" s="304">
        <f t="shared" ca="1" si="120"/>
        <v>2.2425074053611573</v>
      </c>
      <c r="Y283" s="314" t="str">
        <f t="shared" ca="1" si="138"/>
        <v/>
      </c>
      <c r="Z283" s="315" t="str">
        <f t="shared" ca="1" si="139"/>
        <v/>
      </c>
      <c r="AA283" s="316" t="str">
        <f t="shared" ca="1" si="140"/>
        <v/>
      </c>
      <c r="AC283" s="310" t="e">
        <f t="shared" ca="1" si="141"/>
        <v>#N/A</v>
      </c>
      <c r="AD283" s="323" t="e">
        <f t="shared" ca="1" si="142"/>
        <v>#N/A</v>
      </c>
      <c r="AE283" s="324">
        <f t="shared" ca="1" si="121"/>
        <v>1419.9429004090121</v>
      </c>
      <c r="AG283" s="306">
        <f t="shared" ca="1" si="143"/>
        <v>-7.0099580081117354</v>
      </c>
      <c r="AH283" s="304">
        <f t="shared" ca="1" si="144"/>
        <v>-0.78565741140048873</v>
      </c>
    </row>
    <row r="284" spans="1:34" x14ac:dyDescent="0.2">
      <c r="A284" s="347">
        <f t="shared" ca="1" si="122"/>
        <v>0.1</v>
      </c>
      <c r="B284" s="304">
        <f t="shared" ca="1" si="123"/>
        <v>14.599999999999929</v>
      </c>
      <c r="D284" s="306">
        <f t="shared" ca="1" si="124"/>
        <v>-0.59290269068144341</v>
      </c>
      <c r="E284" s="307">
        <f t="shared" ca="1" si="125"/>
        <v>-10.273700091872342</v>
      </c>
      <c r="F284" s="304">
        <f t="shared" ca="1" si="126"/>
        <v>10.290794292879198</v>
      </c>
      <c r="G284" s="306">
        <f t="shared" ca="1" si="127"/>
        <v>25.228557480758194</v>
      </c>
      <c r="H284" s="307">
        <f t="shared" ca="1" si="128"/>
        <v>18.74986748550381</v>
      </c>
      <c r="I284" s="304">
        <f t="shared" ca="1" si="129"/>
        <v>31.433066081498847</v>
      </c>
      <c r="J284" s="306">
        <f t="shared" ca="1" si="130"/>
        <v>458.96569798075319</v>
      </c>
      <c r="K284" s="307">
        <f t="shared" ca="1" si="131"/>
        <v>1421.8692556580218</v>
      </c>
      <c r="L284" s="304">
        <f t="shared" ca="1" si="116"/>
        <v>1494.1089960603467</v>
      </c>
      <c r="M284" s="306">
        <f t="shared" ca="1" si="132"/>
        <v>0.63913497614381387</v>
      </c>
      <c r="N284" s="304">
        <f t="shared" ca="1" si="133"/>
        <v>36.619736672235092</v>
      </c>
      <c r="P284" s="310">
        <f t="shared" ca="1" si="134"/>
        <v>23</v>
      </c>
      <c r="Q284" s="304">
        <f t="shared" ca="1" si="135"/>
        <v>0</v>
      </c>
      <c r="R284" s="306">
        <f t="shared" ca="1" si="136"/>
        <v>0</v>
      </c>
      <c r="S284" s="307">
        <f t="shared" ca="1" si="137"/>
        <v>2.9792999999999985</v>
      </c>
      <c r="T284" s="304">
        <f t="shared" ca="1" si="117"/>
        <v>29.226932999999988</v>
      </c>
      <c r="U284" s="311">
        <f t="shared" ca="1" si="118"/>
        <v>0</v>
      </c>
      <c r="V284" s="306">
        <f t="shared" ca="1" si="119"/>
        <v>1.0623820867456721</v>
      </c>
      <c r="W284" s="304">
        <f t="shared" ca="1" si="120"/>
        <v>2.1494487759654244</v>
      </c>
      <c r="Y284" s="314" t="str">
        <f t="shared" ca="1" si="138"/>
        <v/>
      </c>
      <c r="Z284" s="315" t="str">
        <f t="shared" ca="1" si="139"/>
        <v/>
      </c>
      <c r="AA284" s="316" t="str">
        <f t="shared" ca="1" si="140"/>
        <v/>
      </c>
      <c r="AC284" s="310" t="e">
        <f t="shared" ca="1" si="141"/>
        <v>#N/A</v>
      </c>
      <c r="AD284" s="323" t="e">
        <f t="shared" ca="1" si="142"/>
        <v>#N/A</v>
      </c>
      <c r="AE284" s="324">
        <f t="shared" ca="1" si="121"/>
        <v>1421.8692556580218</v>
      </c>
      <c r="AG284" s="306">
        <f t="shared" ca="1" si="143"/>
        <v>-6.7961684294959728</v>
      </c>
      <c r="AH284" s="304">
        <f t="shared" ca="1" si="144"/>
        <v>-0.75269607134600691</v>
      </c>
    </row>
    <row r="285" spans="1:34" x14ac:dyDescent="0.2">
      <c r="A285" s="347">
        <f t="shared" ca="1" si="122"/>
        <v>0.1</v>
      </c>
      <c r="B285" s="304">
        <f t="shared" ca="1" si="123"/>
        <v>14.699999999999928</v>
      </c>
      <c r="D285" s="306">
        <f t="shared" ca="1" si="124"/>
        <v>-0.57905329437131481</v>
      </c>
      <c r="E285" s="307">
        <f t="shared" ca="1" si="125"/>
        <v>-10.240352490220154</v>
      </c>
      <c r="F285" s="304">
        <f t="shared" ca="1" si="126"/>
        <v>10.256711063575906</v>
      </c>
      <c r="G285" s="306">
        <f t="shared" ca="1" si="127"/>
        <v>25.170652151321065</v>
      </c>
      <c r="H285" s="307">
        <f t="shared" ca="1" si="128"/>
        <v>17.725832236481793</v>
      </c>
      <c r="I285" s="304">
        <f t="shared" ca="1" si="129"/>
        <v>30.785822357031506</v>
      </c>
      <c r="J285" s="306">
        <f t="shared" ca="1" si="130"/>
        <v>461.48565846235715</v>
      </c>
      <c r="K285" s="307">
        <f t="shared" ca="1" si="131"/>
        <v>1423.6930406441211</v>
      </c>
      <c r="L285" s="304">
        <f t="shared" ca="1" si="116"/>
        <v>1496.6198204437019</v>
      </c>
      <c r="M285" s="306">
        <f t="shared" ca="1" si="132"/>
        <v>0.61355669957033254</v>
      </c>
      <c r="N285" s="304">
        <f t="shared" ca="1" si="133"/>
        <v>35.154209377356267</v>
      </c>
      <c r="P285" s="310">
        <f t="shared" ca="1" si="134"/>
        <v>23</v>
      </c>
      <c r="Q285" s="304">
        <f t="shared" ca="1" si="135"/>
        <v>0</v>
      </c>
      <c r="R285" s="306">
        <f t="shared" ca="1" si="136"/>
        <v>0</v>
      </c>
      <c r="S285" s="307">
        <f t="shared" ca="1" si="137"/>
        <v>2.9792999999999985</v>
      </c>
      <c r="T285" s="304">
        <f t="shared" ca="1" si="117"/>
        <v>29.226932999999988</v>
      </c>
      <c r="U285" s="311">
        <f t="shared" ca="1" si="118"/>
        <v>0</v>
      </c>
      <c r="V285" s="306">
        <f t="shared" ca="1" si="119"/>
        <v>1.0621873634036525</v>
      </c>
      <c r="W285" s="304">
        <f t="shared" ca="1" si="120"/>
        <v>2.0614628747602994</v>
      </c>
      <c r="Y285" s="314" t="str">
        <f t="shared" ca="1" si="138"/>
        <v/>
      </c>
      <c r="Z285" s="315" t="str">
        <f t="shared" ca="1" si="139"/>
        <v/>
      </c>
      <c r="AA285" s="316" t="str">
        <f t="shared" ca="1" si="140"/>
        <v/>
      </c>
      <c r="AC285" s="310" t="e">
        <f t="shared" ca="1" si="141"/>
        <v>#N/A</v>
      </c>
      <c r="AD285" s="323" t="e">
        <f t="shared" ca="1" si="142"/>
        <v>#N/A</v>
      </c>
      <c r="AE285" s="324">
        <f t="shared" ca="1" si="121"/>
        <v>1423.6930406441211</v>
      </c>
      <c r="AG285" s="306">
        <f t="shared" ca="1" si="143"/>
        <v>-6.5731396034431597</v>
      </c>
      <c r="AH285" s="304">
        <f t="shared" ca="1" si="144"/>
        <v>-0.72146100626503729</v>
      </c>
    </row>
    <row r="286" spans="1:34" x14ac:dyDescent="0.2">
      <c r="A286" s="347">
        <f t="shared" ca="1" si="122"/>
        <v>0.1</v>
      </c>
      <c r="B286" s="304">
        <f t="shared" ca="1" si="123"/>
        <v>14.799999999999928</v>
      </c>
      <c r="D286" s="306">
        <f t="shared" ca="1" si="124"/>
        <v>-0.56572450379812589</v>
      </c>
      <c r="E286" s="307">
        <f t="shared" ca="1" si="125"/>
        <v>-10.208398006778152</v>
      </c>
      <c r="F286" s="304">
        <f t="shared" ca="1" si="126"/>
        <v>10.22406152558707</v>
      </c>
      <c r="G286" s="306">
        <f t="shared" ca="1" si="127"/>
        <v>25.114079700941254</v>
      </c>
      <c r="H286" s="307">
        <f t="shared" ca="1" si="128"/>
        <v>16.704992435803977</v>
      </c>
      <c r="I286" s="304">
        <f t="shared" ca="1" si="129"/>
        <v>30.162456324137423</v>
      </c>
      <c r="J286" s="306">
        <f t="shared" ca="1" si="130"/>
        <v>463.99989505497024</v>
      </c>
      <c r="K286" s="307">
        <f t="shared" ca="1" si="131"/>
        <v>1425.4145818777354</v>
      </c>
      <c r="L286" s="304">
        <f t="shared" ca="1" si="116"/>
        <v>1499.0338998303885</v>
      </c>
      <c r="M286" s="306">
        <f t="shared" ca="1" si="132"/>
        <v>0.58696187031498825</v>
      </c>
      <c r="N286" s="304">
        <f t="shared" ca="1" si="133"/>
        <v>33.630437904153986</v>
      </c>
      <c r="P286" s="310">
        <f t="shared" ca="1" si="134"/>
        <v>23</v>
      </c>
      <c r="Q286" s="304">
        <f t="shared" ca="1" si="135"/>
        <v>0</v>
      </c>
      <c r="R286" s="306">
        <f t="shared" ca="1" si="136"/>
        <v>0</v>
      </c>
      <c r="S286" s="307">
        <f t="shared" ca="1" si="137"/>
        <v>2.9792999999999985</v>
      </c>
      <c r="T286" s="304">
        <f t="shared" ca="1" si="117"/>
        <v>29.226932999999988</v>
      </c>
      <c r="U286" s="311">
        <f t="shared" ca="1" si="118"/>
        <v>0</v>
      </c>
      <c r="V286" s="306">
        <f t="shared" ca="1" si="119"/>
        <v>1.0620035869198854</v>
      </c>
      <c r="W286" s="304">
        <f t="shared" ca="1" si="120"/>
        <v>1.9784827363851094</v>
      </c>
      <c r="Y286" s="314" t="str">
        <f t="shared" ca="1" si="138"/>
        <v/>
      </c>
      <c r="Z286" s="315" t="str">
        <f t="shared" ca="1" si="139"/>
        <v/>
      </c>
      <c r="AA286" s="316" t="str">
        <f t="shared" ca="1" si="140"/>
        <v/>
      </c>
      <c r="AC286" s="310" t="e">
        <f t="shared" ca="1" si="141"/>
        <v>#N/A</v>
      </c>
      <c r="AD286" s="323" t="e">
        <f t="shared" ca="1" si="142"/>
        <v>#N/A</v>
      </c>
      <c r="AE286" s="324">
        <f t="shared" ca="1" si="121"/>
        <v>1425.4145818777354</v>
      </c>
      <c r="AG286" s="306">
        <f t="shared" ca="1" si="143"/>
        <v>-6.3403212981050672</v>
      </c>
      <c r="AH286" s="304">
        <f t="shared" ca="1" si="144"/>
        <v>-0.69192859891931002</v>
      </c>
    </row>
    <row r="287" spans="1:34" x14ac:dyDescent="0.2">
      <c r="A287" s="347">
        <f t="shared" ca="1" si="122"/>
        <v>0.1</v>
      </c>
      <c r="B287" s="304">
        <f t="shared" ca="1" si="123"/>
        <v>14.899999999999928</v>
      </c>
      <c r="D287" s="306">
        <f t="shared" ca="1" si="124"/>
        <v>-0.55292800975926804</v>
      </c>
      <c r="E287" s="307">
        <f t="shared" ca="1" si="125"/>
        <v>-10.177788042825497</v>
      </c>
      <c r="F287" s="304">
        <f t="shared" ca="1" si="126"/>
        <v>10.192796418483891</v>
      </c>
      <c r="G287" s="306">
        <f t="shared" ca="1" si="127"/>
        <v>25.058786899965327</v>
      </c>
      <c r="H287" s="307">
        <f t="shared" ca="1" si="128"/>
        <v>15.687213631521427</v>
      </c>
      <c r="I287" s="304">
        <f t="shared" ca="1" si="129"/>
        <v>29.564023278621359</v>
      </c>
      <c r="J287" s="306">
        <f t="shared" ca="1" si="130"/>
        <v>466.50853838501558</v>
      </c>
      <c r="K287" s="307">
        <f t="shared" ca="1" si="131"/>
        <v>1427.0341921811016</v>
      </c>
      <c r="L287" s="304">
        <f t="shared" ca="1" si="116"/>
        <v>1501.3516583532628</v>
      </c>
      <c r="M287" s="306">
        <f t="shared" ca="1" si="132"/>
        <v>0.55932993516031093</v>
      </c>
      <c r="N287" s="304">
        <f t="shared" ca="1" si="133"/>
        <v>32.047244640011805</v>
      </c>
      <c r="P287" s="310">
        <f t="shared" ca="1" si="134"/>
        <v>23</v>
      </c>
      <c r="Q287" s="304">
        <f t="shared" ca="1" si="135"/>
        <v>0</v>
      </c>
      <c r="R287" s="306">
        <f t="shared" ca="1" si="136"/>
        <v>0</v>
      </c>
      <c r="S287" s="307">
        <f t="shared" ca="1" si="137"/>
        <v>2.9792999999999985</v>
      </c>
      <c r="T287" s="304">
        <f t="shared" ca="1" si="117"/>
        <v>29.226932999999988</v>
      </c>
      <c r="U287" s="311">
        <f t="shared" ca="1" si="118"/>
        <v>0</v>
      </c>
      <c r="V287" s="306">
        <f t="shared" ca="1" si="119"/>
        <v>1.0618307186386298</v>
      </c>
      <c r="W287" s="304">
        <f t="shared" ca="1" si="120"/>
        <v>1.9004446519140061</v>
      </c>
      <c r="Y287" s="314" t="str">
        <f t="shared" ca="1" si="138"/>
        <v/>
      </c>
      <c r="Z287" s="315" t="str">
        <f t="shared" ca="1" si="139"/>
        <v/>
      </c>
      <c r="AA287" s="316" t="str">
        <f t="shared" ca="1" si="140"/>
        <v/>
      </c>
      <c r="AC287" s="310" t="e">
        <f t="shared" ca="1" si="141"/>
        <v>#N/A</v>
      </c>
      <c r="AD287" s="323" t="e">
        <f t="shared" ca="1" si="142"/>
        <v>#N/A</v>
      </c>
      <c r="AE287" s="324">
        <f t="shared" ca="1" si="121"/>
        <v>1427.0341921811016</v>
      </c>
      <c r="AG287" s="306">
        <f t="shared" ca="1" si="143"/>
        <v>-6.0971874570912448</v>
      </c>
      <c r="AH287" s="304">
        <f t="shared" ca="1" si="144"/>
        <v>-0.66407637243148065</v>
      </c>
    </row>
    <row r="288" spans="1:34" x14ac:dyDescent="0.2">
      <c r="A288" s="347">
        <f t="shared" ca="1" si="122"/>
        <v>0.1</v>
      </c>
      <c r="B288" s="304">
        <f t="shared" ca="1" si="123"/>
        <v>14.999999999999927</v>
      </c>
      <c r="D288" s="306">
        <f t="shared" ca="1" si="124"/>
        <v>-0.54067650345558138</v>
      </c>
      <c r="E288" s="307">
        <f t="shared" ca="1" si="125"/>
        <v>-10.148472402878509</v>
      </c>
      <c r="F288" s="304">
        <f t="shared" ca="1" si="126"/>
        <v>10.162864910711725</v>
      </c>
      <c r="G288" s="306">
        <f t="shared" ca="1" si="127"/>
        <v>25.004719249619768</v>
      </c>
      <c r="H288" s="307">
        <f t="shared" ca="1" si="128"/>
        <v>14.672366391233576</v>
      </c>
      <c r="I288" s="304">
        <f t="shared" ca="1" si="129"/>
        <v>28.991625002246874</v>
      </c>
      <c r="J288" s="306">
        <f t="shared" ca="1" si="130"/>
        <v>469.01171369249482</v>
      </c>
      <c r="K288" s="307">
        <f t="shared" ca="1" si="131"/>
        <v>1428.5521711822394</v>
      </c>
      <c r="L288" s="304">
        <f t="shared" ca="1" si="116"/>
        <v>1503.5735078040784</v>
      </c>
      <c r="M288" s="306">
        <f t="shared" ca="1" si="132"/>
        <v>0.53064508963142687</v>
      </c>
      <c r="N288" s="304">
        <f t="shared" ca="1" si="133"/>
        <v>30.403724055222039</v>
      </c>
      <c r="P288" s="310">
        <f t="shared" ca="1" si="134"/>
        <v>23</v>
      </c>
      <c r="Q288" s="304">
        <f t="shared" ca="1" si="135"/>
        <v>0</v>
      </c>
      <c r="R288" s="306">
        <f t="shared" ca="1" si="136"/>
        <v>0</v>
      </c>
      <c r="S288" s="307">
        <f t="shared" ca="1" si="137"/>
        <v>2.9792999999999985</v>
      </c>
      <c r="T288" s="304">
        <f t="shared" ca="1" si="117"/>
        <v>29.226932999999988</v>
      </c>
      <c r="U288" s="311">
        <f t="shared" ca="1" si="118"/>
        <v>0</v>
      </c>
      <c r="V288" s="306">
        <f t="shared" ca="1" si="119"/>
        <v>1.0616687216459109</v>
      </c>
      <c r="W288" s="304">
        <f t="shared" ca="1" si="120"/>
        <v>1.827288029309375</v>
      </c>
      <c r="Y288" s="314" t="str">
        <f t="shared" ca="1" si="138"/>
        <v/>
      </c>
      <c r="Z288" s="315" t="str">
        <f t="shared" ca="1" si="139"/>
        <v/>
      </c>
      <c r="AA288" s="316" t="str">
        <f t="shared" ca="1" si="140"/>
        <v/>
      </c>
      <c r="AC288" s="310">
        <f t="shared" ca="1" si="141"/>
        <v>14.999999999999927</v>
      </c>
      <c r="AD288" s="323">
        <f t="shared" ca="1" si="142"/>
        <v>469.01171369249482</v>
      </c>
      <c r="AE288" s="324">
        <f t="shared" ca="1" si="121"/>
        <v>1428.5521711822394</v>
      </c>
      <c r="AG288" s="306">
        <f t="shared" ca="1" si="143"/>
        <v>-5.8432490825559347</v>
      </c>
      <c r="AH288" s="304">
        <f t="shared" ca="1" si="144"/>
        <v>-0.63788294294431813</v>
      </c>
    </row>
    <row r="289" spans="1:34" x14ac:dyDescent="0.2">
      <c r="A289" s="347">
        <f t="shared" ca="1" si="122"/>
        <v>0.1</v>
      </c>
      <c r="B289" s="304">
        <f t="shared" ca="1" si="123"/>
        <v>15.099999999999927</v>
      </c>
      <c r="D289" s="306">
        <f t="shared" ca="1" si="124"/>
        <v>-0.52898358633444931</v>
      </c>
      <c r="E289" s="307">
        <f t="shared" ca="1" si="125"/>
        <v>-10.120399045722772</v>
      </c>
      <c r="F289" s="304">
        <f t="shared" ca="1" si="126"/>
        <v>10.134214349384843</v>
      </c>
      <c r="G289" s="306">
        <f t="shared" ca="1" si="127"/>
        <v>24.951820890986323</v>
      </c>
      <c r="H289" s="307">
        <f t="shared" ca="1" si="128"/>
        <v>13.660326486661297</v>
      </c>
      <c r="I289" s="304">
        <f t="shared" ca="1" si="129"/>
        <v>28.446403735763184</v>
      </c>
      <c r="J289" s="306">
        <f t="shared" ca="1" si="130"/>
        <v>471.50954069952513</v>
      </c>
      <c r="K289" s="307">
        <f t="shared" ca="1" si="131"/>
        <v>1429.968805826134</v>
      </c>
      <c r="L289" s="304">
        <f t="shared" ca="1" si="116"/>
        <v>1505.6998481126632</v>
      </c>
      <c r="M289" s="306">
        <f t="shared" ca="1" si="132"/>
        <v>0.50089727152396502</v>
      </c>
      <c r="N289" s="304">
        <f t="shared" ca="1" si="133"/>
        <v>28.699299627941627</v>
      </c>
      <c r="P289" s="310">
        <f t="shared" ca="1" si="134"/>
        <v>23</v>
      </c>
      <c r="Q289" s="304">
        <f t="shared" ca="1" si="135"/>
        <v>0</v>
      </c>
      <c r="R289" s="306">
        <f t="shared" ca="1" si="136"/>
        <v>0</v>
      </c>
      <c r="S289" s="307">
        <f t="shared" ca="1" si="137"/>
        <v>2.9792999999999985</v>
      </c>
      <c r="T289" s="304">
        <f t="shared" ca="1" si="117"/>
        <v>29.226932999999988</v>
      </c>
      <c r="U289" s="311">
        <f t="shared" ca="1" si="118"/>
        <v>0</v>
      </c>
      <c r="V289" s="306">
        <f t="shared" ca="1" si="119"/>
        <v>1.061517560710515</v>
      </c>
      <c r="W289" s="304">
        <f t="shared" ca="1" si="120"/>
        <v>1.7589552547512584</v>
      </c>
      <c r="Y289" s="314" t="str">
        <f t="shared" ca="1" si="138"/>
        <v/>
      </c>
      <c r="Z289" s="315" t="str">
        <f t="shared" ca="1" si="139"/>
        <v/>
      </c>
      <c r="AA289" s="316" t="str">
        <f t="shared" ca="1" si="140"/>
        <v/>
      </c>
      <c r="AC289" s="310" t="e">
        <f t="shared" ca="1" si="141"/>
        <v>#N/A</v>
      </c>
      <c r="AD289" s="323" t="e">
        <f t="shared" ca="1" si="142"/>
        <v>#N/A</v>
      </c>
      <c r="AE289" s="324">
        <f t="shared" ca="1" si="121"/>
        <v>1429.968805826134</v>
      </c>
      <c r="AG289" s="306">
        <f t="shared" ca="1" si="143"/>
        <v>-5.5780691449945223</v>
      </c>
      <c r="AH289" s="304">
        <f t="shared" ca="1" si="144"/>
        <v>-0.6133279727819877</v>
      </c>
    </row>
    <row r="290" spans="1:34" x14ac:dyDescent="0.2">
      <c r="A290" s="347">
        <f t="shared" ca="1" si="122"/>
        <v>0.1</v>
      </c>
      <c r="B290" s="304">
        <f t="shared" ca="1" si="123"/>
        <v>15.199999999999926</v>
      </c>
      <c r="D290" s="306">
        <f t="shared" ca="1" si="124"/>
        <v>-0.51786365222030728</v>
      </c>
      <c r="E290" s="307">
        <f t="shared" ca="1" si="125"/>
        <v>-10.093513840365043</v>
      </c>
      <c r="F290" s="304">
        <f t="shared" ca="1" si="126"/>
        <v>10.106790015031065</v>
      </c>
      <c r="G290" s="306">
        <f t="shared" ca="1" si="127"/>
        <v>24.900034525764291</v>
      </c>
      <c r="H290" s="307">
        <f t="shared" ca="1" si="128"/>
        <v>12.650975102624793</v>
      </c>
      <c r="I290" s="304">
        <f t="shared" ca="1" si="129"/>
        <v>27.929534375486572</v>
      </c>
      <c r="J290" s="306">
        <f t="shared" ca="1" si="130"/>
        <v>474.00213347036265</v>
      </c>
      <c r="K290" s="307">
        <f t="shared" ca="1" si="131"/>
        <v>1431.2843709055983</v>
      </c>
      <c r="L290" s="304">
        <f t="shared" ca="1" si="116"/>
        <v>1507.7310678410424</v>
      </c>
      <c r="M290" s="306">
        <f t="shared" ca="1" si="132"/>
        <v>0.4700832120591919</v>
      </c>
      <c r="N290" s="304">
        <f t="shared" ca="1" si="133"/>
        <v>26.933784070944981</v>
      </c>
      <c r="P290" s="310">
        <f t="shared" ca="1" si="134"/>
        <v>23</v>
      </c>
      <c r="Q290" s="304">
        <f t="shared" ca="1" si="135"/>
        <v>0</v>
      </c>
      <c r="R290" s="306">
        <f t="shared" ca="1" si="136"/>
        <v>0</v>
      </c>
      <c r="S290" s="307">
        <f t="shared" ca="1" si="137"/>
        <v>2.9792999999999985</v>
      </c>
      <c r="T290" s="304">
        <f t="shared" ca="1" si="117"/>
        <v>29.226932999999988</v>
      </c>
      <c r="U290" s="311">
        <f t="shared" ca="1" si="118"/>
        <v>0</v>
      </c>
      <c r="V290" s="306">
        <f t="shared" ca="1" si="119"/>
        <v>1.0613772022231562</v>
      </c>
      <c r="W290" s="304">
        <f t="shared" ca="1" si="120"/>
        <v>1.6953915542401379</v>
      </c>
      <c r="Y290" s="314" t="str">
        <f t="shared" ca="1" si="138"/>
        <v/>
      </c>
      <c r="Z290" s="315" t="str">
        <f t="shared" ca="1" si="139"/>
        <v/>
      </c>
      <c r="AA290" s="316" t="str">
        <f t="shared" ca="1" si="140"/>
        <v/>
      </c>
      <c r="AC290" s="310" t="e">
        <f t="shared" ca="1" si="141"/>
        <v>#N/A</v>
      </c>
      <c r="AD290" s="323" t="e">
        <f t="shared" ca="1" si="142"/>
        <v>#N/A</v>
      </c>
      <c r="AE290" s="324">
        <f t="shared" ca="1" si="121"/>
        <v>1431.2843709055983</v>
      </c>
      <c r="AG290" s="306">
        <f t="shared" ca="1" si="143"/>
        <v>-5.3012794500832978</v>
      </c>
      <c r="AH290" s="304">
        <f t="shared" ca="1" si="144"/>
        <v>-0.59039212390536677</v>
      </c>
    </row>
    <row r="291" spans="1:34" x14ac:dyDescent="0.2">
      <c r="A291" s="347">
        <f t="shared" ca="1" si="122"/>
        <v>0.1</v>
      </c>
      <c r="B291" s="304">
        <f t="shared" ca="1" si="123"/>
        <v>15.299999999999926</v>
      </c>
      <c r="D291" s="306">
        <f t="shared" ca="1" si="124"/>
        <v>-0.50733173858052671</v>
      </c>
      <c r="E291" s="307">
        <f t="shared" ca="1" si="125"/>
        <v>-10.067760333099642</v>
      </c>
      <c r="F291" s="304">
        <f t="shared" ca="1" si="126"/>
        <v>10.080534887480216</v>
      </c>
      <c r="G291" s="306">
        <f t="shared" ca="1" si="127"/>
        <v>24.849301351906238</v>
      </c>
      <c r="H291" s="307">
        <f t="shared" ca="1" si="128"/>
        <v>11.644199069314828</v>
      </c>
      <c r="I291" s="304">
        <f t="shared" ca="1" si="129"/>
        <v>27.442214736490957</v>
      </c>
      <c r="J291" s="306">
        <f t="shared" ca="1" si="130"/>
        <v>476.48960026424618</v>
      </c>
      <c r="K291" s="307">
        <f t="shared" ca="1" si="131"/>
        <v>1432.4991296141952</v>
      </c>
      <c r="L291" s="304">
        <f t="shared" ca="1" si="116"/>
        <v>1509.6675446949928</v>
      </c>
      <c r="M291" s="306">
        <f t="shared" ca="1" si="132"/>
        <v>0.43820751797618529</v>
      </c>
      <c r="N291" s="304">
        <f t="shared" ca="1" si="133"/>
        <v>25.10744133093857</v>
      </c>
      <c r="P291" s="310">
        <f t="shared" ca="1" si="134"/>
        <v>23</v>
      </c>
      <c r="Q291" s="304">
        <f t="shared" ca="1" si="135"/>
        <v>0</v>
      </c>
      <c r="R291" s="306">
        <f t="shared" ca="1" si="136"/>
        <v>0</v>
      </c>
      <c r="S291" s="307">
        <f t="shared" ca="1" si="137"/>
        <v>2.9792999999999985</v>
      </c>
      <c r="T291" s="304">
        <f t="shared" ca="1" si="117"/>
        <v>29.226932999999988</v>
      </c>
      <c r="U291" s="311">
        <f t="shared" ca="1" si="118"/>
        <v>0</v>
      </c>
      <c r="V291" s="306">
        <f t="shared" ca="1" si="119"/>
        <v>1.0612476141335574</v>
      </c>
      <c r="W291" s="304">
        <f t="shared" ca="1" si="120"/>
        <v>1.6365448548964614</v>
      </c>
      <c r="Y291" s="314" t="str">
        <f t="shared" ca="1" si="138"/>
        <v/>
      </c>
      <c r="Z291" s="315" t="str">
        <f t="shared" ca="1" si="139"/>
        <v/>
      </c>
      <c r="AA291" s="316" t="str">
        <f t="shared" ca="1" si="140"/>
        <v/>
      </c>
      <c r="AC291" s="310" t="e">
        <f t="shared" ca="1" si="141"/>
        <v>#N/A</v>
      </c>
      <c r="AD291" s="323" t="e">
        <f t="shared" ca="1" si="142"/>
        <v>#N/A</v>
      </c>
      <c r="AE291" s="324">
        <f t="shared" ca="1" si="121"/>
        <v>1432.4991296141952</v>
      </c>
      <c r="AG291" s="306">
        <f t="shared" ca="1" si="143"/>
        <v>-5.0125992520227696</v>
      </c>
      <c r="AH291" s="304">
        <f t="shared" ca="1" si="144"/>
        <v>-0.56905701145911414</v>
      </c>
    </row>
    <row r="292" spans="1:34" x14ac:dyDescent="0.2">
      <c r="A292" s="347">
        <f t="shared" ca="1" si="122"/>
        <v>0.1</v>
      </c>
      <c r="B292" s="304">
        <f t="shared" ca="1" si="123"/>
        <v>15.399999999999926</v>
      </c>
      <c r="D292" s="306">
        <f t="shared" ca="1" si="124"/>
        <v>-0.49740334433319355</v>
      </c>
      <c r="E292" s="307">
        <f t="shared" ca="1" si="125"/>
        <v>-10.043079533188338</v>
      </c>
      <c r="F292" s="304">
        <f t="shared" ca="1" si="126"/>
        <v>10.055389430395042</v>
      </c>
      <c r="G292" s="306">
        <f t="shared" ca="1" si="127"/>
        <v>24.799561017472918</v>
      </c>
      <c r="H292" s="307">
        <f t="shared" ca="1" si="128"/>
        <v>10.639891115995994</v>
      </c>
      <c r="I292" s="304">
        <f t="shared" ca="1" si="129"/>
        <v>26.985653774174398</v>
      </c>
      <c r="J292" s="306">
        <f t="shared" ca="1" si="130"/>
        <v>478.97204338271513</v>
      </c>
      <c r="K292" s="307">
        <f t="shared" ca="1" si="131"/>
        <v>1433.6133341234608</v>
      </c>
      <c r="L292" s="304">
        <f t="shared" ca="1" si="116"/>
        <v>1511.5096460554921</v>
      </c>
      <c r="M292" s="306">
        <f t="shared" ca="1" si="132"/>
        <v>0.40528374856571447</v>
      </c>
      <c r="N292" s="304">
        <f t="shared" ca="1" si="133"/>
        <v>23.221048298056672</v>
      </c>
      <c r="P292" s="310">
        <f t="shared" ca="1" si="134"/>
        <v>23</v>
      </c>
      <c r="Q292" s="304">
        <f t="shared" ca="1" si="135"/>
        <v>0</v>
      </c>
      <c r="R292" s="306">
        <f t="shared" ca="1" si="136"/>
        <v>0</v>
      </c>
      <c r="S292" s="307">
        <f t="shared" ca="1" si="137"/>
        <v>2.9792999999999985</v>
      </c>
      <c r="T292" s="304">
        <f t="shared" ca="1" si="117"/>
        <v>29.226932999999988</v>
      </c>
      <c r="U292" s="311">
        <f t="shared" ca="1" si="118"/>
        <v>0</v>
      </c>
      <c r="V292" s="306">
        <f t="shared" ca="1" si="119"/>
        <v>1.0611287658851893</v>
      </c>
      <c r="W292" s="304">
        <f t="shared" ca="1" si="120"/>
        <v>1.5823656454172557</v>
      </c>
      <c r="Y292" s="314" t="str">
        <f t="shared" ca="1" si="138"/>
        <v/>
      </c>
      <c r="Z292" s="315" t="str">
        <f t="shared" ca="1" si="139"/>
        <v/>
      </c>
      <c r="AA292" s="316" t="str">
        <f t="shared" ca="1" si="140"/>
        <v/>
      </c>
      <c r="AC292" s="310" t="e">
        <f t="shared" ca="1" si="141"/>
        <v>#N/A</v>
      </c>
      <c r="AD292" s="323" t="e">
        <f t="shared" ca="1" si="142"/>
        <v>#N/A</v>
      </c>
      <c r="AE292" s="324">
        <f t="shared" ca="1" si="121"/>
        <v>1433.6133341234608</v>
      </c>
      <c r="AG292" s="306">
        <f t="shared" ca="1" si="143"/>
        <v>-4.7118552271310614</v>
      </c>
      <c r="AH292" s="304">
        <f t="shared" ca="1" si="144"/>
        <v>-0.54930515721695106</v>
      </c>
    </row>
    <row r="293" spans="1:34" x14ac:dyDescent="0.2">
      <c r="A293" s="347">
        <f t="shared" ca="1" si="122"/>
        <v>0.1</v>
      </c>
      <c r="B293" s="304">
        <f t="shared" ca="1" si="123"/>
        <v>15.499999999999925</v>
      </c>
      <c r="D293" s="306">
        <f t="shared" ca="1" si="124"/>
        <v>-0.48809421249902624</v>
      </c>
      <c r="E293" s="307">
        <f t="shared" ca="1" si="125"/>
        <v>-10.019409725909199</v>
      </c>
      <c r="F293" s="304">
        <f t="shared" ca="1" si="126"/>
        <v>10.031291403200234</v>
      </c>
      <c r="G293" s="306">
        <f t="shared" ca="1" si="127"/>
        <v>24.750751596223015</v>
      </c>
      <c r="H293" s="307">
        <f t="shared" ca="1" si="128"/>
        <v>9.6379501434050745</v>
      </c>
      <c r="I293" s="304">
        <f t="shared" ca="1" si="129"/>
        <v>26.561057726391432</v>
      </c>
      <c r="J293" s="306">
        <f t="shared" ca="1" si="130"/>
        <v>481.44955901339995</v>
      </c>
      <c r="K293" s="307">
        <f t="shared" ca="1" si="131"/>
        <v>1434.6272261864308</v>
      </c>
      <c r="L293" s="304">
        <f t="shared" ca="1" si="116"/>
        <v>1513.2577295324052</v>
      </c>
      <c r="M293" s="306">
        <f t="shared" ca="1" si="132"/>
        <v>0.3713354421072762</v>
      </c>
      <c r="N293" s="304">
        <f t="shared" ca="1" si="133"/>
        <v>21.275953616371442</v>
      </c>
      <c r="P293" s="310">
        <f t="shared" ca="1" si="134"/>
        <v>23</v>
      </c>
      <c r="Q293" s="304">
        <f t="shared" ca="1" si="135"/>
        <v>0</v>
      </c>
      <c r="R293" s="306">
        <f t="shared" ca="1" si="136"/>
        <v>0</v>
      </c>
      <c r="S293" s="307">
        <f t="shared" ca="1" si="137"/>
        <v>2.9792999999999985</v>
      </c>
      <c r="T293" s="304">
        <f t="shared" ca="1" si="117"/>
        <v>29.226932999999988</v>
      </c>
      <c r="U293" s="311">
        <f t="shared" ca="1" si="118"/>
        <v>0</v>
      </c>
      <c r="V293" s="306">
        <f t="shared" ca="1" si="119"/>
        <v>1.061020628347447</v>
      </c>
      <c r="W293" s="304">
        <f t="shared" ca="1" si="120"/>
        <v>1.5328068352003246</v>
      </c>
      <c r="Y293" s="314" t="str">
        <f t="shared" ca="1" si="138"/>
        <v/>
      </c>
      <c r="Z293" s="315" t="str">
        <f t="shared" ca="1" si="139"/>
        <v/>
      </c>
      <c r="AA293" s="316" t="str">
        <f t="shared" ca="1" si="140"/>
        <v/>
      </c>
      <c r="AC293" s="310" t="e">
        <f t="shared" ca="1" si="141"/>
        <v>#N/A</v>
      </c>
      <c r="AD293" s="323" t="e">
        <f t="shared" ca="1" si="142"/>
        <v>#N/A</v>
      </c>
      <c r="AE293" s="324">
        <f t="shared" ca="1" si="121"/>
        <v>1434.6272261864308</v>
      </c>
      <c r="AG293" s="306">
        <f t="shared" ca="1" si="143"/>
        <v>-4.3990022153540345</v>
      </c>
      <c r="AH293" s="304">
        <f t="shared" ca="1" si="144"/>
        <v>-0.53111994274401919</v>
      </c>
    </row>
    <row r="294" spans="1:34" x14ac:dyDescent="0.2">
      <c r="A294" s="347">
        <f t="shared" ca="1" si="122"/>
        <v>0.1</v>
      </c>
      <c r="B294" s="304">
        <f t="shared" ca="1" si="123"/>
        <v>15.599999999999925</v>
      </c>
      <c r="D294" s="306">
        <f t="shared" ca="1" si="124"/>
        <v>-0.47942007727444752</v>
      </c>
      <c r="E294" s="307">
        <f t="shared" ca="1" si="125"/>
        <v>-9.9966863228195315</v>
      </c>
      <c r="F294" s="304">
        <f t="shared" ca="1" si="126"/>
        <v>10.008175710255136</v>
      </c>
      <c r="G294" s="306">
        <f t="shared" ca="1" si="127"/>
        <v>24.702809588495569</v>
      </c>
      <c r="H294" s="307">
        <f t="shared" ca="1" si="128"/>
        <v>8.6382815111231217</v>
      </c>
      <c r="I294" s="304">
        <f t="shared" ca="1" si="129"/>
        <v>26.169614231602271</v>
      </c>
      <c r="J294" s="306">
        <f t="shared" ca="1" si="130"/>
        <v>483.92223707263588</v>
      </c>
      <c r="K294" s="307">
        <f t="shared" ca="1" si="131"/>
        <v>1435.5410377691571</v>
      </c>
      <c r="L294" s="304">
        <f t="shared" ca="1" si="116"/>
        <v>1514.9121435425664</v>
      </c>
      <c r="M294" s="306">
        <f t="shared" ca="1" si="132"/>
        <v>0.3363970372745963</v>
      </c>
      <c r="N294" s="304">
        <f t="shared" ca="1" si="133"/>
        <v>19.274130476539405</v>
      </c>
      <c r="P294" s="310">
        <f t="shared" ca="1" si="134"/>
        <v>23</v>
      </c>
      <c r="Q294" s="304">
        <f t="shared" ca="1" si="135"/>
        <v>0</v>
      </c>
      <c r="R294" s="306">
        <f t="shared" ca="1" si="136"/>
        <v>0</v>
      </c>
      <c r="S294" s="307">
        <f t="shared" ca="1" si="137"/>
        <v>2.9792999999999985</v>
      </c>
      <c r="T294" s="304">
        <f t="shared" ca="1" si="117"/>
        <v>29.226932999999988</v>
      </c>
      <c r="U294" s="311">
        <f t="shared" ca="1" si="118"/>
        <v>0</v>
      </c>
      <c r="V294" s="306">
        <f t="shared" ca="1" si="119"/>
        <v>1.0609231737450717</v>
      </c>
      <c r="W294" s="304">
        <f t="shared" ca="1" si="120"/>
        <v>1.4878236117119146</v>
      </c>
      <c r="Y294" s="314" t="str">
        <f t="shared" ca="1" si="138"/>
        <v/>
      </c>
      <c r="Z294" s="315" t="str">
        <f t="shared" ca="1" si="139"/>
        <v/>
      </c>
      <c r="AA294" s="316" t="str">
        <f t="shared" ca="1" si="140"/>
        <v/>
      </c>
      <c r="AC294" s="310" t="e">
        <f t="shared" ca="1" si="141"/>
        <v>#N/A</v>
      </c>
      <c r="AD294" s="323" t="e">
        <f t="shared" ca="1" si="142"/>
        <v>#N/A</v>
      </c>
      <c r="AE294" s="324">
        <f t="shared" ca="1" si="121"/>
        <v>1435.5410377691571</v>
      </c>
      <c r="AG294" s="306">
        <f t="shared" ca="1" si="143"/>
        <v>-4.0741439115933051</v>
      </c>
      <c r="AH294" s="304">
        <f t="shared" ca="1" si="144"/>
        <v>-0.51448556211201468</v>
      </c>
    </row>
    <row r="295" spans="1:34" x14ac:dyDescent="0.2">
      <c r="A295" s="347">
        <f t="shared" ca="1" si="122"/>
        <v>0.1</v>
      </c>
      <c r="B295" s="304">
        <f t="shared" ca="1" si="123"/>
        <v>15.699999999999925</v>
      </c>
      <c r="D295" s="306">
        <f t="shared" ca="1" si="124"/>
        <v>-0.471396376772379</v>
      </c>
      <c r="E295" s="307">
        <f t="shared" ca="1" si="125"/>
        <v>-9.974841759853085</v>
      </c>
      <c r="F295" s="304">
        <f t="shared" ca="1" si="126"/>
        <v>9.9859742978911736</v>
      </c>
      <c r="G295" s="306">
        <f t="shared" ca="1" si="127"/>
        <v>24.655669950818332</v>
      </c>
      <c r="H295" s="307">
        <f t="shared" ca="1" si="128"/>
        <v>7.6407973351378136</v>
      </c>
      <c r="I295" s="304">
        <f t="shared" ca="1" si="129"/>
        <v>25.812474593504888</v>
      </c>
      <c r="J295" s="306">
        <f t="shared" ca="1" si="130"/>
        <v>486.3901610496016</v>
      </c>
      <c r="K295" s="307">
        <f t="shared" ca="1" si="131"/>
        <v>1436.3549917114701</v>
      </c>
      <c r="L295" s="304">
        <f t="shared" ca="1" si="116"/>
        <v>1516.4732279141344</v>
      </c>
      <c r="M295" s="306">
        <f t="shared" ca="1" si="132"/>
        <v>0.30051462797840106</v>
      </c>
      <c r="N295" s="304">
        <f t="shared" ca="1" si="133"/>
        <v>17.218219865106427</v>
      </c>
      <c r="P295" s="310">
        <f t="shared" ca="1" si="134"/>
        <v>23</v>
      </c>
      <c r="Q295" s="304">
        <f t="shared" ca="1" si="135"/>
        <v>0</v>
      </c>
      <c r="R295" s="306">
        <f t="shared" ca="1" si="136"/>
        <v>0</v>
      </c>
      <c r="S295" s="307">
        <f t="shared" ca="1" si="137"/>
        <v>2.9792999999999985</v>
      </c>
      <c r="T295" s="304">
        <f t="shared" ca="1" si="117"/>
        <v>29.226932999999988</v>
      </c>
      <c r="U295" s="311">
        <f t="shared" ca="1" si="118"/>
        <v>0</v>
      </c>
      <c r="V295" s="306">
        <f t="shared" ca="1" si="119"/>
        <v>1.0608363755846657</v>
      </c>
      <c r="W295" s="304">
        <f t="shared" ca="1" si="120"/>
        <v>1.4473732957558749</v>
      </c>
      <c r="Y295" s="314" t="str">
        <f t="shared" ca="1" si="138"/>
        <v/>
      </c>
      <c r="Z295" s="315" t="str">
        <f t="shared" ca="1" si="139"/>
        <v/>
      </c>
      <c r="AA295" s="316" t="str">
        <f t="shared" ca="1" si="140"/>
        <v/>
      </c>
      <c r="AC295" s="310" t="e">
        <f t="shared" ca="1" si="141"/>
        <v>#N/A</v>
      </c>
      <c r="AD295" s="323" t="e">
        <f t="shared" ca="1" si="142"/>
        <v>#N/A</v>
      </c>
      <c r="AE295" s="324">
        <f t="shared" ca="1" si="121"/>
        <v>1436.3549917114701</v>
      </c>
      <c r="AG295" s="306">
        <f t="shared" ca="1" si="143"/>
        <v>-3.7375524614542224</v>
      </c>
      <c r="AH295" s="304">
        <f t="shared" ca="1" si="144"/>
        <v>-0.49938697402474247</v>
      </c>
    </row>
    <row r="296" spans="1:34" x14ac:dyDescent="0.2">
      <c r="A296" s="347">
        <f t="shared" ca="1" si="122"/>
        <v>0.1</v>
      </c>
      <c r="B296" s="304">
        <f t="shared" ca="1" si="123"/>
        <v>15.799999999999924</v>
      </c>
      <c r="D296" s="306">
        <f t="shared" ca="1" si="124"/>
        <v>-0.46403793471773119</v>
      </c>
      <c r="E296" s="307">
        <f t="shared" ca="1" si="125"/>
        <v>-9.9538054541639589</v>
      </c>
      <c r="F296" s="304">
        <f t="shared" ca="1" si="126"/>
        <v>9.9646161102272917</v>
      </c>
      <c r="G296" s="306">
        <f t="shared" ca="1" si="127"/>
        <v>24.609266157346561</v>
      </c>
      <c r="H296" s="307">
        <f t="shared" ca="1" si="128"/>
        <v>6.645416789721418</v>
      </c>
      <c r="I296" s="304">
        <f t="shared" ca="1" si="129"/>
        <v>25.490734495346228</v>
      </c>
      <c r="J296" s="306">
        <f t="shared" ca="1" si="130"/>
        <v>488.85340785500983</v>
      </c>
      <c r="K296" s="307">
        <f t="shared" ca="1" si="131"/>
        <v>1437.0693024177131</v>
      </c>
      <c r="L296" s="304">
        <f t="shared" ca="1" si="116"/>
        <v>1517.94131451871</v>
      </c>
      <c r="M296" s="306">
        <f t="shared" ca="1" si="132"/>
        <v>0.26374648616538515</v>
      </c>
      <c r="N296" s="304">
        <f t="shared" ca="1" si="133"/>
        <v>15.111560518682126</v>
      </c>
      <c r="P296" s="310">
        <f t="shared" ca="1" si="134"/>
        <v>23</v>
      </c>
      <c r="Q296" s="304">
        <f t="shared" ca="1" si="135"/>
        <v>0</v>
      </c>
      <c r="R296" s="306">
        <f t="shared" ca="1" si="136"/>
        <v>0</v>
      </c>
      <c r="S296" s="307">
        <f t="shared" ca="1" si="137"/>
        <v>2.9792999999999985</v>
      </c>
      <c r="T296" s="304">
        <f t="shared" ca="1" si="117"/>
        <v>29.226932999999988</v>
      </c>
      <c r="U296" s="311">
        <f t="shared" ca="1" si="118"/>
        <v>0</v>
      </c>
      <c r="V296" s="306">
        <f t="shared" ca="1" si="119"/>
        <v>1.0607602085782168</v>
      </c>
      <c r="W296" s="304">
        <f t="shared" ca="1" si="120"/>
        <v>1.411415194402194</v>
      </c>
      <c r="Y296" s="314" t="str">
        <f t="shared" ca="1" si="138"/>
        <v/>
      </c>
      <c r="Z296" s="315" t="str">
        <f t="shared" ca="1" si="139"/>
        <v/>
      </c>
      <c r="AA296" s="316" t="str">
        <f t="shared" ca="1" si="140"/>
        <v/>
      </c>
      <c r="AC296" s="310" t="e">
        <f t="shared" ca="1" si="141"/>
        <v>#N/A</v>
      </c>
      <c r="AD296" s="323" t="e">
        <f t="shared" ca="1" si="142"/>
        <v>#N/A</v>
      </c>
      <c r="AE296" s="324">
        <f t="shared" ca="1" si="121"/>
        <v>1437.0693024177131</v>
      </c>
      <c r="AG296" s="306">
        <f t="shared" ca="1" si="143"/>
        <v>-3.3896857131912643</v>
      </c>
      <c r="AH296" s="304">
        <f t="shared" ca="1" si="144"/>
        <v>-0.48580985323930981</v>
      </c>
    </row>
    <row r="297" spans="1:34" x14ac:dyDescent="0.2">
      <c r="A297" s="347">
        <f t="shared" ca="1" si="122"/>
        <v>0.1</v>
      </c>
      <c r="B297" s="304">
        <f t="shared" ca="1" si="123"/>
        <v>15.899999999999924</v>
      </c>
      <c r="D297" s="306">
        <f t="shared" ca="1" si="124"/>
        <v>-0.45735861671958628</v>
      </c>
      <c r="E297" s="307">
        <f t="shared" ca="1" si="125"/>
        <v>-9.9335038302661776</v>
      </c>
      <c r="F297" s="304">
        <f t="shared" ca="1" si="126"/>
        <v>9.9440271143134193</v>
      </c>
      <c r="G297" s="306">
        <f t="shared" ca="1" si="127"/>
        <v>24.563530295674603</v>
      </c>
      <c r="H297" s="307">
        <f t="shared" ca="1" si="128"/>
        <v>5.6520664066948001</v>
      </c>
      <c r="I297" s="304">
        <f t="shared" ca="1" si="129"/>
        <v>25.205413610020607</v>
      </c>
      <c r="J297" s="306">
        <f t="shared" ca="1" si="130"/>
        <v>491.31204767766087</v>
      </c>
      <c r="K297" s="307">
        <f t="shared" ca="1" si="131"/>
        <v>1437.6841765775339</v>
      </c>
      <c r="L297" s="304">
        <f t="shared" ca="1" si="116"/>
        <v>1519.3167279322104</v>
      </c>
      <c r="M297" s="306">
        <f t="shared" ca="1" si="132"/>
        <v>0.22616328768471292</v>
      </c>
      <c r="N297" s="304">
        <f t="shared" ca="1" si="133"/>
        <v>12.958201865137118</v>
      </c>
      <c r="P297" s="310">
        <f t="shared" ca="1" si="134"/>
        <v>23</v>
      </c>
      <c r="Q297" s="304">
        <f t="shared" ca="1" si="135"/>
        <v>0</v>
      </c>
      <c r="R297" s="306">
        <f t="shared" ca="1" si="136"/>
        <v>0</v>
      </c>
      <c r="S297" s="307">
        <f t="shared" ca="1" si="137"/>
        <v>2.9792999999999985</v>
      </c>
      <c r="T297" s="304">
        <f t="shared" ca="1" si="117"/>
        <v>29.226932999999988</v>
      </c>
      <c r="U297" s="311">
        <f t="shared" ca="1" si="118"/>
        <v>0</v>
      </c>
      <c r="V297" s="306">
        <f t="shared" ca="1" si="119"/>
        <v>1.0606946485636077</v>
      </c>
      <c r="W297" s="304">
        <f t="shared" ca="1" si="120"/>
        <v>1.3799104514501805</v>
      </c>
      <c r="Y297" s="314" t="str">
        <f t="shared" ca="1" si="138"/>
        <v/>
      </c>
      <c r="Z297" s="315" t="str">
        <f t="shared" ca="1" si="139"/>
        <v/>
      </c>
      <c r="AA297" s="316" t="str">
        <f t="shared" ca="1" si="140"/>
        <v/>
      </c>
      <c r="AC297" s="310" t="e">
        <f t="shared" ca="1" si="141"/>
        <v>#N/A</v>
      </c>
      <c r="AD297" s="323" t="e">
        <f t="shared" ca="1" si="142"/>
        <v>#N/A</v>
      </c>
      <c r="AE297" s="324">
        <f t="shared" ca="1" si="121"/>
        <v>1437.6841765775339</v>
      </c>
      <c r="AG297" s="306">
        <f t="shared" ca="1" si="143"/>
        <v>-3.0312007320435415</v>
      </c>
      <c r="AH297" s="304">
        <f t="shared" ca="1" si="144"/>
        <v>-0.4737405412016899</v>
      </c>
    </row>
    <row r="298" spans="1:34" x14ac:dyDescent="0.2">
      <c r="A298" s="347">
        <f t="shared" ca="1" si="122"/>
        <v>0.1</v>
      </c>
      <c r="B298" s="304">
        <f t="shared" ca="1" si="123"/>
        <v>15.999999999999924</v>
      </c>
      <c r="D298" s="306">
        <f t="shared" ca="1" si="124"/>
        <v>-0.45137096923426268</v>
      </c>
      <c r="E298" s="307">
        <f t="shared" ca="1" si="125"/>
        <v>-9.9138604248435538</v>
      </c>
      <c r="F298" s="304">
        <f t="shared" ca="1" si="126"/>
        <v>9.9241304039773031</v>
      </c>
      <c r="G298" s="306">
        <f t="shared" ca="1" si="127"/>
        <v>24.518393198751177</v>
      </c>
      <c r="H298" s="307">
        <f t="shared" ca="1" si="128"/>
        <v>4.6606803642104442</v>
      </c>
      <c r="I298" s="304">
        <f t="shared" ca="1" si="129"/>
        <v>24.957434694012619</v>
      </c>
      <c r="J298" s="306">
        <f t="shared" ca="1" si="130"/>
        <v>493.76614385238219</v>
      </c>
      <c r="K298" s="307">
        <f t="shared" ca="1" si="131"/>
        <v>1438.1998139160792</v>
      </c>
      <c r="L298" s="304">
        <f t="shared" ca="1" si="116"/>
        <v>1520.5997861249014</v>
      </c>
      <c r="M298" s="306">
        <f t="shared" ca="1" si="132"/>
        <v>0.18784798269344261</v>
      </c>
      <c r="N298" s="304">
        <f t="shared" ca="1" si="133"/>
        <v>10.762896598380792</v>
      </c>
      <c r="P298" s="310">
        <f t="shared" ca="1" si="134"/>
        <v>23</v>
      </c>
      <c r="Q298" s="304">
        <f t="shared" ca="1" si="135"/>
        <v>0</v>
      </c>
      <c r="R298" s="306">
        <f t="shared" ca="1" si="136"/>
        <v>0</v>
      </c>
      <c r="S298" s="307">
        <f t="shared" ca="1" si="137"/>
        <v>2.9792999999999985</v>
      </c>
      <c r="T298" s="304">
        <f t="shared" ca="1" si="117"/>
        <v>29.226932999999988</v>
      </c>
      <c r="U298" s="311">
        <f t="shared" ca="1" si="118"/>
        <v>0</v>
      </c>
      <c r="V298" s="306">
        <f t="shared" ca="1" si="119"/>
        <v>1.0606396724221621</v>
      </c>
      <c r="W298" s="304">
        <f t="shared" ca="1" si="120"/>
        <v>1.3528218954350384</v>
      </c>
      <c r="Y298" s="314" t="str">
        <f t="shared" ca="1" si="138"/>
        <v/>
      </c>
      <c r="Z298" s="315" t="str">
        <f t="shared" ca="1" si="139"/>
        <v/>
      </c>
      <c r="AA298" s="316" t="str">
        <f t="shared" ca="1" si="140"/>
        <v/>
      </c>
      <c r="AC298" s="310">
        <f t="shared" ca="1" si="141"/>
        <v>15.999999999999924</v>
      </c>
      <c r="AD298" s="323">
        <f t="shared" ca="1" si="142"/>
        <v>493.76614385238219</v>
      </c>
      <c r="AE298" s="324">
        <f t="shared" ca="1" si="121"/>
        <v>1438.1998139160792</v>
      </c>
      <c r="AG298" s="306">
        <f t="shared" ca="1" si="143"/>
        <v>-2.6629621312228187</v>
      </c>
      <c r="AH298" s="304">
        <f t="shared" ca="1" si="144"/>
        <v>-0.46316599585479179</v>
      </c>
    </row>
    <row r="299" spans="1:34" x14ac:dyDescent="0.2">
      <c r="A299" s="347">
        <f t="shared" ca="1" si="122"/>
        <v>0.1</v>
      </c>
      <c r="B299" s="304">
        <f t="shared" ca="1" si="123"/>
        <v>16.099999999999923</v>
      </c>
      <c r="D299" s="306">
        <f t="shared" ca="1" si="124"/>
        <v>-0.44608585178300125</v>
      </c>
      <c r="E299" s="307">
        <f t="shared" ca="1" si="125"/>
        <v>-9.8947960775122503</v>
      </c>
      <c r="F299" s="304">
        <f t="shared" ca="1" si="126"/>
        <v>9.90484638965758</v>
      </c>
      <c r="G299" s="306">
        <f t="shared" ca="1" si="127"/>
        <v>24.473784613572878</v>
      </c>
      <c r="H299" s="307">
        <f t="shared" ca="1" si="128"/>
        <v>3.6712007564592191</v>
      </c>
      <c r="I299" s="304">
        <f t="shared" ca="1" si="129"/>
        <v>24.747602879991899</v>
      </c>
      <c r="J299" s="306">
        <f t="shared" ca="1" si="130"/>
        <v>496.2157527429984</v>
      </c>
      <c r="K299" s="307">
        <f t="shared" ca="1" si="131"/>
        <v>1438.6164079721127</v>
      </c>
      <c r="L299" s="304">
        <f t="shared" ca="1" si="116"/>
        <v>1521.790801180269</v>
      </c>
      <c r="M299" s="306">
        <f t="shared" ca="1" si="132"/>
        <v>0.14889526498290515</v>
      </c>
      <c r="N299" s="304">
        <f t="shared" ca="1" si="133"/>
        <v>8.5310702730025003</v>
      </c>
      <c r="P299" s="310">
        <f t="shared" ca="1" si="134"/>
        <v>23</v>
      </c>
      <c r="Q299" s="304">
        <f t="shared" ca="1" si="135"/>
        <v>0</v>
      </c>
      <c r="R299" s="306">
        <f t="shared" ca="1" si="136"/>
        <v>0</v>
      </c>
      <c r="S299" s="307">
        <f t="shared" ca="1" si="137"/>
        <v>2.9792999999999985</v>
      </c>
      <c r="T299" s="304">
        <f t="shared" ca="1" si="117"/>
        <v>29.226932999999988</v>
      </c>
      <c r="U299" s="311">
        <f t="shared" ca="1" si="118"/>
        <v>0</v>
      </c>
      <c r="V299" s="306">
        <f t="shared" ca="1" si="119"/>
        <v>1.060595257993374</v>
      </c>
      <c r="W299" s="304">
        <f t="shared" ca="1" si="120"/>
        <v>1.3301138853334054</v>
      </c>
      <c r="Y299" s="314" t="str">
        <f t="shared" ca="1" si="138"/>
        <v/>
      </c>
      <c r="Z299" s="315" t="str">
        <f t="shared" ca="1" si="139"/>
        <v/>
      </c>
      <c r="AA299" s="316" t="str">
        <f t="shared" ca="1" si="140"/>
        <v/>
      </c>
      <c r="AC299" s="310" t="e">
        <f t="shared" ca="1" si="141"/>
        <v>#N/A</v>
      </c>
      <c r="AD299" s="323" t="e">
        <f t="shared" ca="1" si="142"/>
        <v>#N/A</v>
      </c>
      <c r="AE299" s="324">
        <f t="shared" ca="1" si="121"/>
        <v>1438.6164079721127</v>
      </c>
      <c r="AG299" s="306">
        <f t="shared" ca="1" si="143"/>
        <v>-2.2860438502692246</v>
      </c>
      <c r="AH299" s="304">
        <f t="shared" ca="1" si="144"/>
        <v>-0.45407374062197131</v>
      </c>
    </row>
    <row r="300" spans="1:34" x14ac:dyDescent="0.2">
      <c r="A300" s="347">
        <f t="shared" ca="1" si="122"/>
        <v>0.1</v>
      </c>
      <c r="B300" s="304">
        <f t="shared" ca="1" si="123"/>
        <v>16.199999999999925</v>
      </c>
      <c r="D300" s="306">
        <f t="shared" ca="1" si="124"/>
        <v>-0.44151207514287644</v>
      </c>
      <c r="E300" s="307">
        <f t="shared" ca="1" si="125"/>
        <v>-9.8762292117808173</v>
      </c>
      <c r="F300" s="304">
        <f t="shared" ca="1" si="126"/>
        <v>9.8860930784678391</v>
      </c>
      <c r="G300" s="306">
        <f t="shared" ca="1" si="127"/>
        <v>24.429633406058592</v>
      </c>
      <c r="H300" s="307">
        <f t="shared" ca="1" si="128"/>
        <v>2.6835778352811372</v>
      </c>
      <c r="I300" s="304">
        <f t="shared" ca="1" si="129"/>
        <v>24.576585978374336</v>
      </c>
      <c r="J300" s="306">
        <f t="shared" ca="1" si="130"/>
        <v>498.66092364397997</v>
      </c>
      <c r="K300" s="307">
        <f t="shared" ca="1" si="131"/>
        <v>1438.9341469016997</v>
      </c>
      <c r="L300" s="304">
        <f t="shared" ca="1" si="116"/>
        <v>1522.8900800416259</v>
      </c>
      <c r="M300" s="306">
        <f t="shared" ca="1" si="132"/>
        <v>0.10941061412986934</v>
      </c>
      <c r="N300" s="304">
        <f t="shared" ca="1" si="133"/>
        <v>6.2687664235759231</v>
      </c>
      <c r="P300" s="310">
        <f t="shared" ca="1" si="134"/>
        <v>23</v>
      </c>
      <c r="Q300" s="304">
        <f t="shared" ca="1" si="135"/>
        <v>0</v>
      </c>
      <c r="R300" s="306">
        <f t="shared" ca="1" si="136"/>
        <v>0</v>
      </c>
      <c r="S300" s="307">
        <f t="shared" ca="1" si="137"/>
        <v>2.9792999999999985</v>
      </c>
      <c r="T300" s="304">
        <f t="shared" ca="1" si="117"/>
        <v>29.226932999999988</v>
      </c>
      <c r="U300" s="311">
        <f t="shared" ca="1" si="118"/>
        <v>0</v>
      </c>
      <c r="V300" s="306">
        <f t="shared" ca="1" si="119"/>
        <v>1.0605613839870562</v>
      </c>
      <c r="W300" s="304">
        <f t="shared" ca="1" si="120"/>
        <v>1.3117521542789059</v>
      </c>
      <c r="Y300" s="314" t="str">
        <f t="shared" ca="1" si="138"/>
        <v/>
      </c>
      <c r="Z300" s="315" t="str">
        <f t="shared" ca="1" si="139"/>
        <v/>
      </c>
      <c r="AA300" s="316" t="str">
        <f t="shared" ca="1" si="140"/>
        <v/>
      </c>
      <c r="AC300" s="310" t="e">
        <f t="shared" ca="1" si="141"/>
        <v>#N/A</v>
      </c>
      <c r="AD300" s="323" t="e">
        <f t="shared" ca="1" si="142"/>
        <v>#N/A</v>
      </c>
      <c r="AE300" s="324">
        <f t="shared" ca="1" si="121"/>
        <v>1438.9341469016997</v>
      </c>
      <c r="AG300" s="306">
        <f t="shared" ca="1" si="143"/>
        <v>-1.9017232421586421</v>
      </c>
      <c r="AH300" s="304">
        <f t="shared" ca="1" si="144"/>
        <v>-0.44645181261820094</v>
      </c>
    </row>
    <row r="301" spans="1:34" x14ac:dyDescent="0.2">
      <c r="A301" s="347">
        <f t="shared" ca="1" si="122"/>
        <v>0.1</v>
      </c>
      <c r="B301" s="304">
        <f t="shared" ca="1" si="123"/>
        <v>16.299999999999926</v>
      </c>
      <c r="D301" s="306">
        <f t="shared" ca="1" si="124"/>
        <v>-0.43765605980885053</v>
      </c>
      <c r="E301" s="307">
        <f t="shared" ca="1" si="125"/>
        <v>-9.858076206550372</v>
      </c>
      <c r="F301" s="304">
        <f t="shared" ca="1" si="126"/>
        <v>9.8677864448336123</v>
      </c>
      <c r="G301" s="306">
        <f t="shared" ca="1" si="127"/>
        <v>24.385867800077708</v>
      </c>
      <c r="H301" s="307">
        <f t="shared" ca="1" si="128"/>
        <v>1.6977702146261</v>
      </c>
      <c r="I301" s="304">
        <f t="shared" ca="1" si="129"/>
        <v>24.444896646632369</v>
      </c>
      <c r="J301" s="306">
        <f t="shared" ca="1" si="130"/>
        <v>501.10169870428678</v>
      </c>
      <c r="K301" s="307">
        <f t="shared" ca="1" si="131"/>
        <v>1439.153214304195</v>
      </c>
      <c r="L301" s="304">
        <f t="shared" ca="1" si="116"/>
        <v>1523.8979252845047</v>
      </c>
      <c r="M301" s="306">
        <f t="shared" ca="1" si="132"/>
        <v>6.9508909626836965E-2</v>
      </c>
      <c r="N301" s="304">
        <f t="shared" ca="1" si="133"/>
        <v>3.9825671601740162</v>
      </c>
      <c r="P301" s="310">
        <f t="shared" ca="1" si="134"/>
        <v>23</v>
      </c>
      <c r="Q301" s="304">
        <f t="shared" ca="1" si="135"/>
        <v>0</v>
      </c>
      <c r="R301" s="306">
        <f t="shared" ca="1" si="136"/>
        <v>0</v>
      </c>
      <c r="S301" s="307">
        <f t="shared" ca="1" si="137"/>
        <v>2.9792999999999985</v>
      </c>
      <c r="T301" s="304">
        <f t="shared" ca="1" si="117"/>
        <v>29.226932999999988</v>
      </c>
      <c r="U301" s="311">
        <f t="shared" ca="1" si="118"/>
        <v>0</v>
      </c>
      <c r="V301" s="306">
        <f t="shared" ca="1" si="119"/>
        <v>1.0605380298932339</v>
      </c>
      <c r="W301" s="304">
        <f t="shared" ca="1" si="120"/>
        <v>1.2977036517570515</v>
      </c>
      <c r="Y301" s="314" t="str">
        <f t="shared" ca="1" si="138"/>
        <v/>
      </c>
      <c r="Z301" s="315" t="str">
        <f t="shared" ca="1" si="139"/>
        <v/>
      </c>
      <c r="AA301" s="316" t="str">
        <f t="shared" ca="1" si="140"/>
        <v/>
      </c>
      <c r="AC301" s="310" t="e">
        <f t="shared" ca="1" si="141"/>
        <v>#N/A</v>
      </c>
      <c r="AD301" s="323" t="e">
        <f t="shared" ca="1" si="142"/>
        <v>#N/A</v>
      </c>
      <c r="AE301" s="324">
        <f t="shared" ca="1" si="121"/>
        <v>1439.153214304195</v>
      </c>
      <c r="AG301" s="306">
        <f t="shared" ca="1" si="143"/>
        <v>-1.5114667243923818</v>
      </c>
      <c r="AH301" s="304">
        <f t="shared" ca="1" si="144"/>
        <v>-0.44028871019330262</v>
      </c>
    </row>
    <row r="302" spans="1:34" x14ac:dyDescent="0.2">
      <c r="A302" s="347">
        <f t="shared" ca="1" si="122"/>
        <v>0.1</v>
      </c>
      <c r="B302" s="304">
        <f t="shared" ca="1" si="123"/>
        <v>16.399999999999928</v>
      </c>
      <c r="D302" s="306">
        <f t="shared" ca="1" si="124"/>
        <v>-0.4345215297558887</v>
      </c>
      <c r="E302" s="307">
        <f t="shared" ca="1" si="125"/>
        <v>-9.8402518539377546</v>
      </c>
      <c r="F302" s="304">
        <f t="shared" ca="1" si="126"/>
        <v>9.849840887483758</v>
      </c>
      <c r="G302" s="306">
        <f t="shared" ca="1" si="127"/>
        <v>24.342415647102118</v>
      </c>
      <c r="H302" s="307">
        <f t="shared" ca="1" si="128"/>
        <v>0.71374502923232452</v>
      </c>
      <c r="I302" s="304">
        <f t="shared" ca="1" si="129"/>
        <v>24.352877273600257</v>
      </c>
      <c r="J302" s="306">
        <f t="shared" ca="1" si="130"/>
        <v>503.53811287664576</v>
      </c>
      <c r="K302" s="307">
        <f t="shared" ca="1" si="131"/>
        <v>1439.2737900663878</v>
      </c>
      <c r="L302" s="304">
        <f t="shared" ca="1" si="116"/>
        <v>1524.8146359119978</v>
      </c>
      <c r="M302" s="306">
        <f t="shared" ca="1" si="132"/>
        <v>2.9312645214585407E-2</v>
      </c>
      <c r="N302" s="304">
        <f t="shared" ca="1" si="133"/>
        <v>1.6794908571600931</v>
      </c>
      <c r="P302" s="310">
        <f t="shared" ca="1" si="134"/>
        <v>23</v>
      </c>
      <c r="Q302" s="304">
        <f t="shared" ca="1" si="135"/>
        <v>0</v>
      </c>
      <c r="R302" s="306">
        <f t="shared" ca="1" si="136"/>
        <v>0</v>
      </c>
      <c r="S302" s="307">
        <f t="shared" ca="1" si="137"/>
        <v>2.9792999999999985</v>
      </c>
      <c r="T302" s="304">
        <f t="shared" ca="1" si="117"/>
        <v>29.226932999999988</v>
      </c>
      <c r="U302" s="311">
        <f t="shared" ca="1" si="118"/>
        <v>0</v>
      </c>
      <c r="V302" s="306">
        <f t="shared" ca="1" si="119"/>
        <v>1.060525175890217</v>
      </c>
      <c r="W302" s="304">
        <f t="shared" ca="1" si="120"/>
        <v>1.2879363849025349</v>
      </c>
      <c r="Y302" s="314" t="str">
        <f t="shared" ca="1" si="138"/>
        <v>Apogée</v>
      </c>
      <c r="Z302" s="315" t="str">
        <f t="shared" ca="1" si="139"/>
        <v>Para</v>
      </c>
      <c r="AA302" s="316" t="str">
        <f t="shared" ca="1" si="140"/>
        <v/>
      </c>
      <c r="AC302" s="310" t="e">
        <f t="shared" ca="1" si="141"/>
        <v>#N/A</v>
      </c>
      <c r="AD302" s="323" t="e">
        <f t="shared" ca="1" si="142"/>
        <v>#N/A</v>
      </c>
      <c r="AE302" s="324">
        <f t="shared" ca="1" si="121"/>
        <v>1439.2737900663878</v>
      </c>
      <c r="AG302" s="306">
        <f t="shared" ca="1" si="143"/>
        <v>-1.1169067915331419</v>
      </c>
      <c r="AH302" s="304">
        <f t="shared" ca="1" si="144"/>
        <v>-0.43557333996477432</v>
      </c>
    </row>
    <row r="303" spans="1:34" x14ac:dyDescent="0.2">
      <c r="A303" s="347">
        <f t="shared" ca="1" si="122"/>
        <v>0.1</v>
      </c>
      <c r="B303" s="304">
        <f t="shared" ca="1" si="123"/>
        <v>16.499999999999929</v>
      </c>
      <c r="D303" s="306">
        <f t="shared" ca="1" si="124"/>
        <v>-0.43210925619349139</v>
      </c>
      <c r="E303" s="307">
        <f t="shared" ca="1" si="125"/>
        <v>-9.8226698943179915</v>
      </c>
      <c r="F303" s="304">
        <f t="shared" ca="1" si="126"/>
        <v>9.8321697636904695</v>
      </c>
      <c r="G303" s="306">
        <f t="shared" ca="1" si="127"/>
        <v>24.29920472148277</v>
      </c>
      <c r="H303" s="307">
        <f t="shared" ca="1" si="128"/>
        <v>-0.26852196019947472</v>
      </c>
      <c r="I303" s="304">
        <f t="shared" ca="1" si="129"/>
        <v>24.300688347033297</v>
      </c>
      <c r="J303" s="306">
        <f t="shared" ca="1" si="130"/>
        <v>505.970193895075</v>
      </c>
      <c r="K303" s="307">
        <f t="shared" ca="1" si="131"/>
        <v>1439.2960512198395</v>
      </c>
      <c r="L303" s="304">
        <f t="shared" ca="1" si="116"/>
        <v>1525.6405081693533</v>
      </c>
      <c r="M303" s="306">
        <f t="shared" ca="1" si="132"/>
        <v>-1.1050198297778317E-2</v>
      </c>
      <c r="N303" s="304">
        <f t="shared" ca="1" si="133"/>
        <v>-0.63312972524534405</v>
      </c>
      <c r="P303" s="310">
        <f t="shared" ca="1" si="134"/>
        <v>23</v>
      </c>
      <c r="Q303" s="304">
        <f t="shared" ca="1" si="135"/>
        <v>0</v>
      </c>
      <c r="R303" s="306">
        <f t="shared" ca="1" si="136"/>
        <v>0</v>
      </c>
      <c r="S303" s="307">
        <f t="shared" ca="1" si="137"/>
        <v>2.9792999999999985</v>
      </c>
      <c r="T303" s="304">
        <f t="shared" ca="1" si="117"/>
        <v>29.226932999999988</v>
      </c>
      <c r="U303" s="311">
        <f t="shared" ca="1" si="118"/>
        <v>0</v>
      </c>
      <c r="V303" s="306">
        <f t="shared" ca="1" si="119"/>
        <v>1.0605228027513538</v>
      </c>
      <c r="W303" s="304">
        <f t="shared" ca="1" si="120"/>
        <v>1.2824192596630837</v>
      </c>
      <c r="Y303" s="314" t="str">
        <f t="shared" ca="1" si="138"/>
        <v/>
      </c>
      <c r="Z303" s="315" t="str">
        <f t="shared" ca="1" si="139"/>
        <v/>
      </c>
      <c r="AA303" s="316" t="str">
        <f t="shared" ca="1" si="140"/>
        <v/>
      </c>
      <c r="AC303" s="310" t="e">
        <f t="shared" ca="1" si="141"/>
        <v>#N/A</v>
      </c>
      <c r="AD303" s="323" t="e">
        <f t="shared" ca="1" si="142"/>
        <v>#N/A</v>
      </c>
      <c r="AE303" s="324" t="e">
        <f t="shared" ca="1" si="121"/>
        <v>#N/A</v>
      </c>
      <c r="AG303" s="306">
        <f t="shared" ca="1" si="143"/>
        <v>-0.71981083521019473</v>
      </c>
      <c r="AH303" s="304">
        <f t="shared" ca="1" si="144"/>
        <v>-0.43229496354933561</v>
      </c>
    </row>
    <row r="304" spans="1:34" x14ac:dyDescent="0.2">
      <c r="A304" s="347">
        <f t="shared" ca="1" si="122"/>
        <v>0.1</v>
      </c>
      <c r="B304" s="304">
        <f t="shared" ca="1" si="123"/>
        <v>16.59999999999993</v>
      </c>
      <c r="D304" s="306">
        <f t="shared" ca="1" si="124"/>
        <v>-0.43041686448189587</v>
      </c>
      <c r="E304" s="307">
        <f t="shared" ca="1" si="125"/>
        <v>-9.805243614699398</v>
      </c>
      <c r="F304" s="304">
        <f t="shared" ca="1" si="126"/>
        <v>9.8146859868685432</v>
      </c>
      <c r="G304" s="306">
        <f t="shared" ca="1" si="127"/>
        <v>24.256163035034579</v>
      </c>
      <c r="H304" s="307">
        <f t="shared" ca="1" si="128"/>
        <v>-1.2490463216694145</v>
      </c>
      <c r="I304" s="304">
        <f t="shared" ca="1" si="129"/>
        <v>24.288300926492447</v>
      </c>
      <c r="J304" s="306">
        <f t="shared" ca="1" si="130"/>
        <v>508.39796228290089</v>
      </c>
      <c r="K304" s="307">
        <f t="shared" ca="1" si="131"/>
        <v>1439.220172805746</v>
      </c>
      <c r="L304" s="304">
        <f t="shared" ca="1" si="116"/>
        <v>1526.3758363733382</v>
      </c>
      <c r="M304" s="306">
        <f t="shared" ca="1" si="132"/>
        <v>-5.1448535788388594E-2</v>
      </c>
      <c r="N304" s="304">
        <f t="shared" ca="1" si="133"/>
        <v>-2.947783962802438</v>
      </c>
      <c r="P304" s="310">
        <f t="shared" ca="1" si="134"/>
        <v>23</v>
      </c>
      <c r="Q304" s="304">
        <f t="shared" ca="1" si="135"/>
        <v>0</v>
      </c>
      <c r="R304" s="306">
        <f t="shared" ca="1" si="136"/>
        <v>0</v>
      </c>
      <c r="S304" s="307">
        <f t="shared" ca="1" si="137"/>
        <v>2.9792999999999985</v>
      </c>
      <c r="T304" s="304">
        <f t="shared" ca="1" si="117"/>
        <v>29.226932999999988</v>
      </c>
      <c r="U304" s="311">
        <f t="shared" ca="1" si="118"/>
        <v>0</v>
      </c>
      <c r="V304" s="306">
        <f t="shared" ca="1" si="119"/>
        <v>1.0605308917510587</v>
      </c>
      <c r="W304" s="304">
        <f t="shared" ca="1" si="120"/>
        <v>1.2811219227143691</v>
      </c>
      <c r="Y304" s="314" t="str">
        <f t="shared" ca="1" si="138"/>
        <v/>
      </c>
      <c r="Z304" s="315" t="str">
        <f t="shared" ca="1" si="139"/>
        <v/>
      </c>
      <c r="AA304" s="316" t="str">
        <f t="shared" ca="1" si="140"/>
        <v/>
      </c>
      <c r="AC304" s="310" t="e">
        <f t="shared" ca="1" si="141"/>
        <v>#N/A</v>
      </c>
      <c r="AD304" s="323" t="e">
        <f t="shared" ca="1" si="142"/>
        <v>#N/A</v>
      </c>
      <c r="AE304" s="324" t="e">
        <f t="shared" ca="1" si="121"/>
        <v>#N/A</v>
      </c>
      <c r="AG304" s="306">
        <f t="shared" ca="1" si="143"/>
        <v>-0.32204290504911703</v>
      </c>
      <c r="AH304" s="304">
        <f t="shared" ca="1" si="144"/>
        <v>-0.43044314424968427</v>
      </c>
    </row>
    <row r="305" spans="1:34" x14ac:dyDescent="0.2">
      <c r="A305" s="347">
        <f t="shared" ca="1" si="122"/>
        <v>0.1</v>
      </c>
      <c r="B305" s="304">
        <f t="shared" ca="1" si="123"/>
        <v>16.699999999999932</v>
      </c>
      <c r="D305" s="306">
        <f t="shared" ca="1" si="124"/>
        <v>-0.42943871468773387</v>
      </c>
      <c r="E305" s="307">
        <f t="shared" ca="1" si="125"/>
        <v>-9.7878864923447129</v>
      </c>
      <c r="F305" s="304">
        <f t="shared" ca="1" si="126"/>
        <v>9.7973026694441128</v>
      </c>
      <c r="G305" s="306">
        <f t="shared" ca="1" si="127"/>
        <v>24.213219163565807</v>
      </c>
      <c r="H305" s="307">
        <f t="shared" ca="1" si="128"/>
        <v>-2.2278349709038858</v>
      </c>
      <c r="I305" s="304">
        <f t="shared" ca="1" si="129"/>
        <v>24.315493639250938</v>
      </c>
      <c r="J305" s="306">
        <f t="shared" ca="1" si="130"/>
        <v>510.8214313928309</v>
      </c>
      <c r="K305" s="307">
        <f t="shared" ca="1" si="131"/>
        <v>1439.0463287411173</v>
      </c>
      <c r="L305" s="304">
        <f t="shared" ca="1" si="116"/>
        <v>1527.0209137511865</v>
      </c>
      <c r="M305" s="306">
        <f t="shared" ca="1" si="132"/>
        <v>-9.1750708437751988E-2</v>
      </c>
      <c r="N305" s="304">
        <f t="shared" ca="1" si="133"/>
        <v>-5.2569283608185398</v>
      </c>
      <c r="P305" s="310">
        <f t="shared" ca="1" si="134"/>
        <v>23</v>
      </c>
      <c r="Q305" s="304">
        <f t="shared" ca="1" si="135"/>
        <v>0</v>
      </c>
      <c r="R305" s="306">
        <f t="shared" ca="1" si="136"/>
        <v>0</v>
      </c>
      <c r="S305" s="307">
        <f t="shared" ca="1" si="137"/>
        <v>2.9792999999999985</v>
      </c>
      <c r="T305" s="304">
        <f t="shared" ca="1" si="117"/>
        <v>29.226932999999988</v>
      </c>
      <c r="U305" s="311">
        <f t="shared" ca="1" si="118"/>
        <v>0</v>
      </c>
      <c r="V305" s="306">
        <f t="shared" ca="1" si="119"/>
        <v>1.0605494245707541</v>
      </c>
      <c r="W305" s="304">
        <f t="shared" ca="1" si="120"/>
        <v>1.2840146051025587</v>
      </c>
      <c r="Y305" s="314" t="str">
        <f t="shared" ca="1" si="138"/>
        <v/>
      </c>
      <c r="Z305" s="315" t="str">
        <f t="shared" ca="1" si="139"/>
        <v/>
      </c>
      <c r="AA305" s="316" t="str">
        <f t="shared" ca="1" si="140"/>
        <v/>
      </c>
      <c r="AC305" s="310" t="e">
        <f t="shared" ca="1" si="141"/>
        <v>#N/A</v>
      </c>
      <c r="AD305" s="323" t="e">
        <f t="shared" ca="1" si="142"/>
        <v>#N/A</v>
      </c>
      <c r="AE305" s="324" t="e">
        <f t="shared" ca="1" si="121"/>
        <v>#N/A</v>
      </c>
      <c r="AG305" s="306">
        <f t="shared" ca="1" si="143"/>
        <v>7.4479814320251025E-2</v>
      </c>
      <c r="AH305" s="304">
        <f t="shared" ca="1" si="144"/>
        <v>-0.43000769399334399</v>
      </c>
    </row>
    <row r="306" spans="1:34" x14ac:dyDescent="0.2">
      <c r="A306" s="347">
        <f t="shared" ca="1" si="122"/>
        <v>0.1</v>
      </c>
      <c r="B306" s="304">
        <f t="shared" ca="1" si="123"/>
        <v>16.799999999999933</v>
      </c>
      <c r="D306" s="306">
        <f t="shared" ca="1" si="124"/>
        <v>-0.4291658625692461</v>
      </c>
      <c r="E306" s="307">
        <f t="shared" ca="1" si="125"/>
        <v>-9.7705128623959023</v>
      </c>
      <c r="F306" s="304">
        <f t="shared" ca="1" si="126"/>
        <v>9.7799337897471759</v>
      </c>
      <c r="G306" s="306">
        <f t="shared" ca="1" si="127"/>
        <v>24.170302577308881</v>
      </c>
      <c r="H306" s="307">
        <f t="shared" ca="1" si="128"/>
        <v>-3.204886257143476</v>
      </c>
      <c r="I306" s="304">
        <f t="shared" ca="1" si="129"/>
        <v>24.381854371640632</v>
      </c>
      <c r="J306" s="306">
        <f t="shared" ca="1" si="130"/>
        <v>513.2406074798746</v>
      </c>
      <c r="K306" s="307">
        <f t="shared" ca="1" si="131"/>
        <v>1438.7746926797149</v>
      </c>
      <c r="L306" s="304">
        <f t="shared" ca="1" si="116"/>
        <v>1527.5760332834234</v>
      </c>
      <c r="M306" s="306">
        <f t="shared" ca="1" si="132"/>
        <v>-0.13182704149200589</v>
      </c>
      <c r="N306" s="304">
        <f t="shared" ca="1" si="133"/>
        <v>-7.5531331031879239</v>
      </c>
      <c r="P306" s="310">
        <f t="shared" ca="1" si="134"/>
        <v>23</v>
      </c>
      <c r="Q306" s="304">
        <f t="shared" ca="1" si="135"/>
        <v>0</v>
      </c>
      <c r="R306" s="306">
        <f t="shared" ca="1" si="136"/>
        <v>0</v>
      </c>
      <c r="S306" s="307">
        <f t="shared" ca="1" si="137"/>
        <v>2.9792999999999985</v>
      </c>
      <c r="T306" s="304">
        <f t="shared" ca="1" si="117"/>
        <v>29.226932999999988</v>
      </c>
      <c r="U306" s="311">
        <f t="shared" ca="1" si="118"/>
        <v>0</v>
      </c>
      <c r="V306" s="306">
        <f t="shared" ca="1" si="119"/>
        <v>1.0605783832054116</v>
      </c>
      <c r="W306" s="304">
        <f t="shared" ca="1" si="120"/>
        <v>1.2910679686488682</v>
      </c>
      <c r="Y306" s="314" t="str">
        <f t="shared" ca="1" si="138"/>
        <v/>
      </c>
      <c r="Z306" s="315" t="str">
        <f t="shared" ca="1" si="139"/>
        <v/>
      </c>
      <c r="AA306" s="316" t="str">
        <f t="shared" ca="1" si="140"/>
        <v/>
      </c>
      <c r="AC306" s="310" t="e">
        <f t="shared" ca="1" si="141"/>
        <v>#N/A</v>
      </c>
      <c r="AD306" s="323" t="e">
        <f t="shared" ca="1" si="142"/>
        <v>#N/A</v>
      </c>
      <c r="AE306" s="324" t="e">
        <f t="shared" ca="1" si="121"/>
        <v>#N/A</v>
      </c>
      <c r="AG306" s="306">
        <f t="shared" ca="1" si="143"/>
        <v>0.46783352702488418</v>
      </c>
      <c r="AH306" s="304">
        <f t="shared" ca="1" si="144"/>
        <v>-0.43097862085139443</v>
      </c>
    </row>
    <row r="307" spans="1:34" x14ac:dyDescent="0.2">
      <c r="A307" s="347">
        <f t="shared" ca="1" si="122"/>
        <v>0.1</v>
      </c>
      <c r="B307" s="304">
        <f t="shared" ca="1" si="123"/>
        <v>16.899999999999935</v>
      </c>
      <c r="D307" s="306">
        <f t="shared" ca="1" si="124"/>
        <v>-0.42958610341251974</v>
      </c>
      <c r="E307" s="307">
        <f t="shared" ca="1" si="125"/>
        <v>-9.7530385865181888</v>
      </c>
      <c r="F307" s="304">
        <f t="shared" ca="1" si="126"/>
        <v>9.7624948599401513</v>
      </c>
      <c r="G307" s="306">
        <f t="shared" ca="1" si="127"/>
        <v>24.127343966967629</v>
      </c>
      <c r="H307" s="307">
        <f t="shared" ca="1" si="128"/>
        <v>-4.1801901157952948</v>
      </c>
      <c r="I307" s="304">
        <f t="shared" ca="1" si="129"/>
        <v>24.4867865655043</v>
      </c>
      <c r="J307" s="306">
        <f t="shared" ca="1" si="130"/>
        <v>515.65548980708843</v>
      </c>
      <c r="K307" s="307">
        <f t="shared" ca="1" si="131"/>
        <v>1438.405438861068</v>
      </c>
      <c r="L307" s="304">
        <f t="shared" ca="1" si="116"/>
        <v>1528.0414885444995</v>
      </c>
      <c r="M307" s="306">
        <f t="shared" ca="1" si="132"/>
        <v>-0.17155230605692698</v>
      </c>
      <c r="N307" s="304">
        <f t="shared" ca="1" si="133"/>
        <v>-9.8292231027985046</v>
      </c>
      <c r="P307" s="310">
        <f t="shared" ca="1" si="134"/>
        <v>23</v>
      </c>
      <c r="Q307" s="304">
        <f t="shared" ca="1" si="135"/>
        <v>0</v>
      </c>
      <c r="R307" s="306">
        <f t="shared" ca="1" si="136"/>
        <v>0</v>
      </c>
      <c r="S307" s="307">
        <f t="shared" ca="1" si="137"/>
        <v>2.9792999999999985</v>
      </c>
      <c r="T307" s="304">
        <f t="shared" ca="1" si="117"/>
        <v>29.226932999999988</v>
      </c>
      <c r="U307" s="311">
        <f t="shared" ca="1" si="118"/>
        <v>0</v>
      </c>
      <c r="V307" s="306">
        <f t="shared" ca="1" si="119"/>
        <v>1.0606177498713805</v>
      </c>
      <c r="W307" s="304">
        <f t="shared" ca="1" si="120"/>
        <v>1.3022529561701115</v>
      </c>
      <c r="Y307" s="314" t="str">
        <f t="shared" ca="1" si="138"/>
        <v/>
      </c>
      <c r="Z307" s="315" t="str">
        <f t="shared" ca="1" si="139"/>
        <v/>
      </c>
      <c r="AA307" s="316" t="str">
        <f t="shared" ca="1" si="140"/>
        <v/>
      </c>
      <c r="AC307" s="310" t="e">
        <f t="shared" ca="1" si="141"/>
        <v>#N/A</v>
      </c>
      <c r="AD307" s="323" t="e">
        <f t="shared" ca="1" si="142"/>
        <v>#N/A</v>
      </c>
      <c r="AE307" s="324" t="e">
        <f t="shared" ca="1" si="121"/>
        <v>#N/A</v>
      </c>
      <c r="AG307" s="306">
        <f t="shared" ca="1" si="143"/>
        <v>0.85613476771126629</v>
      </c>
      <c r="AH307" s="304">
        <f t="shared" ca="1" si="144"/>
        <v>-0.43334607748426435</v>
      </c>
    </row>
    <row r="308" spans="1:34" x14ac:dyDescent="0.2">
      <c r="A308" s="347">
        <f t="shared" ca="1" si="122"/>
        <v>0.1</v>
      </c>
      <c r="B308" s="304">
        <f t="shared" ca="1" si="123"/>
        <v>16.999999999999936</v>
      </c>
      <c r="D308" s="306">
        <f t="shared" ca="1" si="124"/>
        <v>-0.43068409650967465</v>
      </c>
      <c r="E308" s="307">
        <f t="shared" ca="1" si="125"/>
        <v>-9.7353816994641118</v>
      </c>
      <c r="F308" s="304">
        <f t="shared" ca="1" si="126"/>
        <v>9.7449035718803856</v>
      </c>
      <c r="G308" s="306">
        <f t="shared" ca="1" si="127"/>
        <v>24.084275557316662</v>
      </c>
      <c r="H308" s="307">
        <f t="shared" ca="1" si="128"/>
        <v>-5.1537282857417059</v>
      </c>
      <c r="I308" s="304">
        <f t="shared" ca="1" si="129"/>
        <v>24.629519775343063</v>
      </c>
      <c r="J308" s="306">
        <f t="shared" ca="1" si="130"/>
        <v>518.06607078330262</v>
      </c>
      <c r="K308" s="307">
        <f t="shared" ca="1" si="131"/>
        <v>1437.9387429409912</v>
      </c>
      <c r="L308" s="304">
        <f t="shared" ca="1" si="116"/>
        <v>1528.4175745350378</v>
      </c>
      <c r="M308" s="306">
        <f t="shared" ca="1" si="132"/>
        <v>-0.21080797032773121</v>
      </c>
      <c r="N308" s="304">
        <f t="shared" ca="1" si="133"/>
        <v>-12.078406987498088</v>
      </c>
      <c r="P308" s="310">
        <f t="shared" ca="1" si="134"/>
        <v>23</v>
      </c>
      <c r="Q308" s="304">
        <f t="shared" ca="1" si="135"/>
        <v>0</v>
      </c>
      <c r="R308" s="306">
        <f t="shared" ca="1" si="136"/>
        <v>0</v>
      </c>
      <c r="S308" s="307">
        <f t="shared" ca="1" si="137"/>
        <v>2.9792999999999985</v>
      </c>
      <c r="T308" s="304">
        <f t="shared" ca="1" si="117"/>
        <v>29.226932999999988</v>
      </c>
      <c r="U308" s="311">
        <f t="shared" ca="1" si="118"/>
        <v>0</v>
      </c>
      <c r="V308" s="306">
        <f t="shared" ca="1" si="119"/>
        <v>1.0606675069161933</v>
      </c>
      <c r="W308" s="304">
        <f t="shared" ca="1" si="120"/>
        <v>1.3175406465494968</v>
      </c>
      <c r="Y308" s="314" t="str">
        <f t="shared" ca="1" si="138"/>
        <v/>
      </c>
      <c r="Z308" s="315" t="str">
        <f t="shared" ca="1" si="139"/>
        <v/>
      </c>
      <c r="AA308" s="316" t="str">
        <f t="shared" ca="1" si="140"/>
        <v/>
      </c>
      <c r="AC308" s="310">
        <f t="shared" ca="1" si="141"/>
        <v>16.999999999999936</v>
      </c>
      <c r="AD308" s="323">
        <f t="shared" ca="1" si="142"/>
        <v>518.06607078330262</v>
      </c>
      <c r="AE308" s="324" t="e">
        <f t="shared" ca="1" si="121"/>
        <v>#N/A</v>
      </c>
      <c r="AG308" s="306">
        <f t="shared" ca="1" si="143"/>
        <v>1.2375851333099803</v>
      </c>
      <c r="AH308" s="304">
        <f t="shared" ca="1" si="144"/>
        <v>-0.43710031086836243</v>
      </c>
    </row>
    <row r="309" spans="1:34" x14ac:dyDescent="0.2">
      <c r="A309" s="347">
        <f t="shared" ca="1" si="122"/>
        <v>0.1</v>
      </c>
      <c r="B309" s="304">
        <f t="shared" ca="1" si="123"/>
        <v>17.099999999999937</v>
      </c>
      <c r="D309" s="306">
        <f t="shared" ca="1" si="124"/>
        <v>-0.43244156363871444</v>
      </c>
      <c r="E309" s="307">
        <f t="shared" ca="1" si="125"/>
        <v>-9.7174630119909029</v>
      </c>
      <c r="F309" s="304">
        <f t="shared" ca="1" si="126"/>
        <v>9.7270803993476687</v>
      </c>
      <c r="G309" s="306">
        <f t="shared" ca="1" si="127"/>
        <v>24.041031400952789</v>
      </c>
      <c r="H309" s="307">
        <f t="shared" ca="1" si="128"/>
        <v>-6.1254745869407961</v>
      </c>
      <c r="I309" s="304">
        <f t="shared" ca="1" si="129"/>
        <v>24.809123921187858</v>
      </c>
      <c r="J309" s="306">
        <f t="shared" ca="1" si="130"/>
        <v>520.47233613121614</v>
      </c>
      <c r="K309" s="307">
        <f t="shared" ca="1" si="131"/>
        <v>1437.3747827973571</v>
      </c>
      <c r="L309" s="304">
        <f t="shared" ca="1" si="116"/>
        <v>1528.7045884995684</v>
      </c>
      <c r="M309" s="306">
        <f t="shared" ca="1" si="132"/>
        <v>-0.24948414391388943</v>
      </c>
      <c r="N309" s="304">
        <f t="shared" ca="1" si="133"/>
        <v>-14.294388501700308</v>
      </c>
      <c r="P309" s="310">
        <f t="shared" ca="1" si="134"/>
        <v>23</v>
      </c>
      <c r="Q309" s="304">
        <f t="shared" ca="1" si="135"/>
        <v>0</v>
      </c>
      <c r="R309" s="306">
        <f t="shared" ca="1" si="136"/>
        <v>0</v>
      </c>
      <c r="S309" s="307">
        <f t="shared" ca="1" si="137"/>
        <v>2.9792999999999985</v>
      </c>
      <c r="T309" s="304">
        <f t="shared" ca="1" si="117"/>
        <v>29.226932999999988</v>
      </c>
      <c r="U309" s="311">
        <f t="shared" ca="1" si="118"/>
        <v>0</v>
      </c>
      <c r="V309" s="306">
        <f t="shared" ca="1" si="119"/>
        <v>1.0607276367309937</v>
      </c>
      <c r="W309" s="304">
        <f t="shared" ca="1" si="120"/>
        <v>1.3369021156344147</v>
      </c>
      <c r="Y309" s="314" t="str">
        <f t="shared" ca="1" si="138"/>
        <v/>
      </c>
      <c r="Z309" s="315" t="str">
        <f t="shared" ca="1" si="139"/>
        <v/>
      </c>
      <c r="AA309" s="316" t="str">
        <f t="shared" ca="1" si="140"/>
        <v/>
      </c>
      <c r="AC309" s="310" t="e">
        <f t="shared" ca="1" si="141"/>
        <v>#N/A</v>
      </c>
      <c r="AD309" s="323" t="e">
        <f t="shared" ca="1" si="142"/>
        <v>#N/A</v>
      </c>
      <c r="AE309" s="324" t="e">
        <f t="shared" ca="1" si="121"/>
        <v>#N/A</v>
      </c>
      <c r="AG309" s="306">
        <f t="shared" ca="1" si="143"/>
        <v>1.61051139328932</v>
      </c>
      <c r="AH309" s="304">
        <f t="shared" ca="1" si="144"/>
        <v>-0.44223161365068892</v>
      </c>
    </row>
    <row r="310" spans="1:34" x14ac:dyDescent="0.2">
      <c r="A310" s="347">
        <f t="shared" ca="1" si="122"/>
        <v>0.1</v>
      </c>
      <c r="B310" s="304">
        <f t="shared" ca="1" si="123"/>
        <v>17.199999999999939</v>
      </c>
      <c r="D310" s="306">
        <f t="shared" ca="1" si="124"/>
        <v>-0.43483755110527672</v>
      </c>
      <c r="E310" s="307">
        <f t="shared" ca="1" si="125"/>
        <v>-9.6992066515649835</v>
      </c>
      <c r="F310" s="304">
        <f t="shared" ca="1" si="126"/>
        <v>9.7089491380691477</v>
      </c>
      <c r="G310" s="306">
        <f t="shared" ca="1" si="127"/>
        <v>23.997547645842261</v>
      </c>
      <c r="H310" s="307">
        <f t="shared" ca="1" si="128"/>
        <v>-7.095395252097294</v>
      </c>
      <c r="I310" s="304">
        <f t="shared" ca="1" si="129"/>
        <v>25.024526504970162</v>
      </c>
      <c r="J310" s="306">
        <f t="shared" ca="1" si="130"/>
        <v>522.87426508355588</v>
      </c>
      <c r="K310" s="307">
        <f t="shared" ca="1" si="131"/>
        <v>1436.7137393054052</v>
      </c>
      <c r="L310" s="304">
        <f t="shared" ca="1" si="116"/>
        <v>1528.9028307239112</v>
      </c>
      <c r="M310" s="306">
        <f t="shared" ca="1" si="132"/>
        <v>-0.28748114441386197</v>
      </c>
      <c r="N310" s="304">
        <f t="shared" ca="1" si="133"/>
        <v>-16.471456264505214</v>
      </c>
      <c r="P310" s="310">
        <f t="shared" ca="1" si="134"/>
        <v>23</v>
      </c>
      <c r="Q310" s="304">
        <f t="shared" ca="1" si="135"/>
        <v>0</v>
      </c>
      <c r="R310" s="306">
        <f t="shared" ca="1" si="136"/>
        <v>0</v>
      </c>
      <c r="S310" s="307">
        <f t="shared" ca="1" si="137"/>
        <v>2.9792999999999985</v>
      </c>
      <c r="T310" s="304">
        <f t="shared" ca="1" si="117"/>
        <v>29.226932999999988</v>
      </c>
      <c r="U310" s="311">
        <f t="shared" ca="1" si="118"/>
        <v>0</v>
      </c>
      <c r="V310" s="306">
        <f t="shared" ca="1" si="119"/>
        <v>1.0607981216661855</v>
      </c>
      <c r="W310" s="304">
        <f t="shared" ca="1" si="120"/>
        <v>1.3603083038467814</v>
      </c>
      <c r="Y310" s="314" t="str">
        <f t="shared" ca="1" si="138"/>
        <v/>
      </c>
      <c r="Z310" s="315" t="str">
        <f t="shared" ca="1" si="139"/>
        <v/>
      </c>
      <c r="AA310" s="316" t="str">
        <f t="shared" ca="1" si="140"/>
        <v/>
      </c>
      <c r="AC310" s="310" t="e">
        <f t="shared" ca="1" si="141"/>
        <v>#N/A</v>
      </c>
      <c r="AD310" s="323" t="e">
        <f t="shared" ca="1" si="142"/>
        <v>#N/A</v>
      </c>
      <c r="AE310" s="324" t="e">
        <f t="shared" ca="1" si="121"/>
        <v>#N/A</v>
      </c>
      <c r="AG310" s="306">
        <f t="shared" ca="1" si="143"/>
        <v>1.9733990121030023</v>
      </c>
      <c r="AH310" s="304">
        <f t="shared" ca="1" si="144"/>
        <v>-0.44873027745927413</v>
      </c>
    </row>
    <row r="311" spans="1:34" x14ac:dyDescent="0.2">
      <c r="A311" s="347">
        <f t="shared" ca="1" si="122"/>
        <v>0.1</v>
      </c>
      <c r="B311" s="304">
        <f t="shared" ca="1" si="123"/>
        <v>17.29999999999994</v>
      </c>
      <c r="D311" s="306">
        <f t="shared" ca="1" si="124"/>
        <v>-0.437848742077244</v>
      </c>
      <c r="E311" s="307">
        <f t="shared" ca="1" si="125"/>
        <v>-9.6805405264104181</v>
      </c>
      <c r="F311" s="304">
        <f t="shared" ca="1" si="126"/>
        <v>9.6904373690981114</v>
      </c>
      <c r="G311" s="306">
        <f t="shared" ca="1" si="127"/>
        <v>23.953762771634537</v>
      </c>
      <c r="H311" s="307">
        <f t="shared" ca="1" si="128"/>
        <v>-8.0634493047383362</v>
      </c>
      <c r="I311" s="304">
        <f t="shared" ca="1" si="129"/>
        <v>25.274531956296041</v>
      </c>
      <c r="J311" s="306">
        <f t="shared" ca="1" si="130"/>
        <v>525.27183060442974</v>
      </c>
      <c r="K311" s="307">
        <f t="shared" ca="1" si="131"/>
        <v>1435.9557970775634</v>
      </c>
      <c r="L311" s="304">
        <f t="shared" ca="1" si="116"/>
        <v>1529.0126053068329</v>
      </c>
      <c r="M311" s="306">
        <f t="shared" ca="1" si="132"/>
        <v>-0.32471064483458573</v>
      </c>
      <c r="N311" s="304">
        <f t="shared" ca="1" si="133"/>
        <v>-18.604549511993206</v>
      </c>
      <c r="P311" s="310">
        <f t="shared" ca="1" si="134"/>
        <v>23</v>
      </c>
      <c r="Q311" s="304">
        <f t="shared" ca="1" si="135"/>
        <v>0</v>
      </c>
      <c r="R311" s="306">
        <f t="shared" ca="1" si="136"/>
        <v>0</v>
      </c>
      <c r="S311" s="307">
        <f t="shared" ca="1" si="137"/>
        <v>2.9792999999999985</v>
      </c>
      <c r="T311" s="304">
        <f t="shared" ca="1" si="117"/>
        <v>29.226932999999988</v>
      </c>
      <c r="U311" s="311">
        <f t="shared" ca="1" si="118"/>
        <v>0</v>
      </c>
      <c r="V311" s="306">
        <f t="shared" ca="1" si="119"/>
        <v>1.0608789439508144</v>
      </c>
      <c r="W311" s="304">
        <f t="shared" ca="1" si="120"/>
        <v>1.38772989127305</v>
      </c>
      <c r="Y311" s="314" t="str">
        <f t="shared" ca="1" si="138"/>
        <v/>
      </c>
      <c r="Z311" s="315" t="str">
        <f t="shared" ca="1" si="139"/>
        <v/>
      </c>
      <c r="AA311" s="316" t="str">
        <f t="shared" ca="1" si="140"/>
        <v/>
      </c>
      <c r="AC311" s="310" t="e">
        <f t="shared" ca="1" si="141"/>
        <v>#N/A</v>
      </c>
      <c r="AD311" s="323" t="e">
        <f t="shared" ca="1" si="142"/>
        <v>#N/A</v>
      </c>
      <c r="AE311" s="324" t="e">
        <f t="shared" ca="1" si="121"/>
        <v>#N/A</v>
      </c>
      <c r="AG311" s="306">
        <f t="shared" ca="1" si="143"/>
        <v>2.3249177253204754</v>
      </c>
      <c r="AH311" s="304">
        <f t="shared" ca="1" si="144"/>
        <v>-0.45658654846668079</v>
      </c>
    </row>
    <row r="312" spans="1:34" x14ac:dyDescent="0.2">
      <c r="A312" s="347">
        <f t="shared" ca="1" si="122"/>
        <v>0.1</v>
      </c>
      <c r="B312" s="304">
        <f t="shared" ca="1" si="123"/>
        <v>17.399999999999942</v>
      </c>
      <c r="D312" s="306">
        <f t="shared" ca="1" si="124"/>
        <v>-0.44144980428360747</v>
      </c>
      <c r="E312" s="307">
        <f t="shared" ca="1" si="125"/>
        <v>-9.6613967032501993</v>
      </c>
      <c r="F312" s="304">
        <f t="shared" ca="1" si="126"/>
        <v>9.6714768358961525</v>
      </c>
      <c r="G312" s="306">
        <f t="shared" ca="1" si="127"/>
        <v>23.909617791206177</v>
      </c>
      <c r="H312" s="307">
        <f t="shared" ca="1" si="128"/>
        <v>-9.0295889750633567</v>
      </c>
      <c r="I312" s="304">
        <f t="shared" ca="1" si="129"/>
        <v>25.557842240301678</v>
      </c>
      <c r="J312" s="306">
        <f t="shared" ca="1" si="130"/>
        <v>527.66499963257172</v>
      </c>
      <c r="K312" s="307">
        <f t="shared" ca="1" si="131"/>
        <v>1435.1011451635734</v>
      </c>
      <c r="L312" s="304">
        <f t="shared" ca="1" si="116"/>
        <v>1529.0342209012333</v>
      </c>
      <c r="M312" s="306">
        <f t="shared" ca="1" si="132"/>
        <v>-0.36109639033420637</v>
      </c>
      <c r="N312" s="304">
        <f t="shared" ca="1" si="133"/>
        <v>-20.689299163558598</v>
      </c>
      <c r="P312" s="310">
        <f t="shared" ca="1" si="134"/>
        <v>23</v>
      </c>
      <c r="Q312" s="304">
        <f t="shared" ca="1" si="135"/>
        <v>0</v>
      </c>
      <c r="R312" s="306">
        <f t="shared" ca="1" si="136"/>
        <v>0</v>
      </c>
      <c r="S312" s="307">
        <f t="shared" ca="1" si="137"/>
        <v>2.9792999999999985</v>
      </c>
      <c r="T312" s="304">
        <f t="shared" ca="1" si="117"/>
        <v>29.226932999999988</v>
      </c>
      <c r="U312" s="311">
        <f t="shared" ca="1" si="118"/>
        <v>0</v>
      </c>
      <c r="V312" s="306">
        <f t="shared" ca="1" si="119"/>
        <v>1.0609700856161308</v>
      </c>
      <c r="W312" s="304">
        <f t="shared" ca="1" si="120"/>
        <v>1.4191371808629962</v>
      </c>
      <c r="Y312" s="314" t="str">
        <f t="shared" ca="1" si="138"/>
        <v/>
      </c>
      <c r="Z312" s="315" t="str">
        <f t="shared" ca="1" si="139"/>
        <v/>
      </c>
      <c r="AA312" s="316" t="str">
        <f t="shared" ca="1" si="140"/>
        <v/>
      </c>
      <c r="AC312" s="310" t="e">
        <f t="shared" ca="1" si="141"/>
        <v>#N/A</v>
      </c>
      <c r="AD312" s="323" t="e">
        <f t="shared" ca="1" si="142"/>
        <v>#N/A</v>
      </c>
      <c r="AE312" s="324" t="e">
        <f t="shared" ca="1" si="121"/>
        <v>#N/A</v>
      </c>
      <c r="AG312" s="306">
        <f t="shared" ca="1" si="143"/>
        <v>2.6639384958208017</v>
      </c>
      <c r="AH312" s="304">
        <f t="shared" ca="1" si="144"/>
        <v>-0.46579058546405222</v>
      </c>
    </row>
    <row r="313" spans="1:34" x14ac:dyDescent="0.2">
      <c r="A313" s="347">
        <f t="shared" ca="1" si="122"/>
        <v>0.1</v>
      </c>
      <c r="B313" s="304">
        <f t="shared" ca="1" si="123"/>
        <v>17.499999999999943</v>
      </c>
      <c r="D313" s="306">
        <f t="shared" ca="1" si="124"/>
        <v>-0.44561375770238904</v>
      </c>
      <c r="E313" s="307">
        <f t="shared" ca="1" si="125"/>
        <v>-9.6417116940628826</v>
      </c>
      <c r="F313" s="304">
        <f t="shared" ca="1" si="126"/>
        <v>9.6520037304428445</v>
      </c>
      <c r="G313" s="306">
        <f t="shared" ca="1" si="127"/>
        <v>23.865056415435937</v>
      </c>
      <c r="H313" s="307">
        <f t="shared" ca="1" si="128"/>
        <v>-9.9937601444696451</v>
      </c>
      <c r="I313" s="304">
        <f t="shared" ca="1" si="129"/>
        <v>25.873077890678758</v>
      </c>
      <c r="J313" s="306">
        <f t="shared" ca="1" si="130"/>
        <v>530.0537333429038</v>
      </c>
      <c r="K313" s="307">
        <f t="shared" ca="1" si="131"/>
        <v>1434.1499777075967</v>
      </c>
      <c r="L313" s="304">
        <f t="shared" ca="1" si="116"/>
        <v>1528.9679914208309</v>
      </c>
      <c r="M313" s="306">
        <f t="shared" ca="1" si="132"/>
        <v>-0.39657449996431593</v>
      </c>
      <c r="N313" s="304">
        <f t="shared" ca="1" si="133"/>
        <v>-22.722045110466318</v>
      </c>
      <c r="P313" s="310">
        <f t="shared" ca="1" si="134"/>
        <v>23</v>
      </c>
      <c r="Q313" s="304">
        <f t="shared" ca="1" si="135"/>
        <v>0</v>
      </c>
      <c r="R313" s="306">
        <f t="shared" ca="1" si="136"/>
        <v>0</v>
      </c>
      <c r="S313" s="307">
        <f t="shared" ca="1" si="137"/>
        <v>2.9792999999999985</v>
      </c>
      <c r="T313" s="304">
        <f t="shared" ca="1" si="117"/>
        <v>29.226932999999988</v>
      </c>
      <c r="U313" s="311">
        <f t="shared" ca="1" si="118"/>
        <v>0</v>
      </c>
      <c r="V313" s="306">
        <f t="shared" ca="1" si="119"/>
        <v>1.061071528423662</v>
      </c>
      <c r="W313" s="304">
        <f t="shared" ca="1" si="120"/>
        <v>1.4544999902171321</v>
      </c>
      <c r="Y313" s="314" t="str">
        <f t="shared" ca="1" si="138"/>
        <v/>
      </c>
      <c r="Z313" s="315" t="str">
        <f t="shared" ca="1" si="139"/>
        <v/>
      </c>
      <c r="AA313" s="316" t="str">
        <f t="shared" ca="1" si="140"/>
        <v/>
      </c>
      <c r="AC313" s="310" t="e">
        <f t="shared" ca="1" si="141"/>
        <v>#N/A</v>
      </c>
      <c r="AD313" s="323" t="e">
        <f t="shared" ca="1" si="142"/>
        <v>#N/A</v>
      </c>
      <c r="AE313" s="324" t="e">
        <f t="shared" ca="1" si="121"/>
        <v>#N/A</v>
      </c>
      <c r="AG313" s="306">
        <f t="shared" ca="1" si="143"/>
        <v>2.98954185043833</v>
      </c>
      <c r="AH313" s="304">
        <f t="shared" ca="1" si="144"/>
        <v>-0.47633242065686465</v>
      </c>
    </row>
    <row r="314" spans="1:34" x14ac:dyDescent="0.2">
      <c r="A314" s="347">
        <f t="shared" ca="1" si="122"/>
        <v>0.1</v>
      </c>
      <c r="B314" s="304">
        <f t="shared" ca="1" si="123"/>
        <v>17.599999999999945</v>
      </c>
      <c r="D314" s="306">
        <f t="shared" ca="1" si="124"/>
        <v>-0.45031234752758859</v>
      </c>
      <c r="E314" s="307">
        <f t="shared" ca="1" si="125"/>
        <v>-9.6214266518819969</v>
      </c>
      <c r="F314" s="304">
        <f t="shared" ca="1" si="126"/>
        <v>9.6319588884027656</v>
      </c>
      <c r="G314" s="306">
        <f t="shared" ca="1" si="127"/>
        <v>23.820025180683178</v>
      </c>
      <c r="H314" s="307">
        <f t="shared" ca="1" si="128"/>
        <v>-10.955902809657845</v>
      </c>
      <c r="I314" s="304">
        <f t="shared" ca="1" si="129"/>
        <v>26.218798713576664</v>
      </c>
      <c r="J314" s="306">
        <f t="shared" ca="1" si="130"/>
        <v>532.43798742270974</v>
      </c>
      <c r="K314" s="307">
        <f t="shared" ca="1" si="131"/>
        <v>1433.1024945598904</v>
      </c>
      <c r="L314" s="304">
        <f t="shared" ca="1" si="116"/>
        <v>1528.814236709132</v>
      </c>
      <c r="M314" s="306">
        <f t="shared" ca="1" si="132"/>
        <v>-0.4310933912653892</v>
      </c>
      <c r="N314" s="304">
        <f t="shared" ca="1" si="133"/>
        <v>-24.699831895488668</v>
      </c>
      <c r="P314" s="310">
        <f t="shared" ca="1" si="134"/>
        <v>23</v>
      </c>
      <c r="Q314" s="304">
        <f t="shared" ca="1" si="135"/>
        <v>0</v>
      </c>
      <c r="R314" s="306">
        <f t="shared" ca="1" si="136"/>
        <v>0</v>
      </c>
      <c r="S314" s="307">
        <f t="shared" ca="1" si="137"/>
        <v>2.9792999999999985</v>
      </c>
      <c r="T314" s="304">
        <f t="shared" ca="1" si="117"/>
        <v>29.226932999999988</v>
      </c>
      <c r="U314" s="311">
        <f t="shared" ca="1" si="118"/>
        <v>0</v>
      </c>
      <c r="V314" s="306">
        <f t="shared" ca="1" si="119"/>
        <v>1.0611832537980486</v>
      </c>
      <c r="W314" s="304">
        <f t="shared" ca="1" si="120"/>
        <v>1.4937875522903361</v>
      </c>
      <c r="Y314" s="314" t="str">
        <f t="shared" ca="1" si="138"/>
        <v/>
      </c>
      <c r="Z314" s="315" t="str">
        <f t="shared" ca="1" si="139"/>
        <v/>
      </c>
      <c r="AA314" s="316" t="str">
        <f t="shared" ca="1" si="140"/>
        <v/>
      </c>
      <c r="AC314" s="310" t="e">
        <f t="shared" ca="1" si="141"/>
        <v>#N/A</v>
      </c>
      <c r="AD314" s="323" t="e">
        <f t="shared" ca="1" si="142"/>
        <v>#N/A</v>
      </c>
      <c r="AE314" s="324" t="e">
        <f t="shared" ca="1" si="121"/>
        <v>#N/A</v>
      </c>
      <c r="AG314" s="306">
        <f t="shared" ca="1" si="143"/>
        <v>3.3010181853536888</v>
      </c>
      <c r="AH314" s="304">
        <f t="shared" ca="1" si="144"/>
        <v>-0.48820192334344736</v>
      </c>
    </row>
    <row r="315" spans="1:34" x14ac:dyDescent="0.2">
      <c r="A315" s="347">
        <f t="shared" ca="1" si="122"/>
        <v>0.1</v>
      </c>
      <c r="B315" s="304">
        <f t="shared" ca="1" si="123"/>
        <v>17.699999999999946</v>
      </c>
      <c r="D315" s="306">
        <f t="shared" ca="1" si="124"/>
        <v>-0.45551640927054143</v>
      </c>
      <c r="E315" s="307">
        <f t="shared" ca="1" si="125"/>
        <v>-9.6004874797437463</v>
      </c>
      <c r="F315" s="304">
        <f t="shared" ca="1" si="126"/>
        <v>9.6112878974584444</v>
      </c>
      <c r="G315" s="306">
        <f t="shared" ca="1" si="127"/>
        <v>23.774473539756123</v>
      </c>
      <c r="H315" s="307">
        <f t="shared" ca="1" si="128"/>
        <v>-11.915951557632219</v>
      </c>
      <c r="I315" s="304">
        <f t="shared" ca="1" si="129"/>
        <v>26.593523527663681</v>
      </c>
      <c r="J315" s="306">
        <f t="shared" ca="1" si="130"/>
        <v>534.81771235873168</v>
      </c>
      <c r="K315" s="307">
        <f t="shared" ca="1" si="131"/>
        <v>1431.9589018415259</v>
      </c>
      <c r="L315" s="304">
        <f t="shared" ca="1" si="116"/>
        <v>1528.5732831682674</v>
      </c>
      <c r="M315" s="306">
        <f t="shared" ca="1" si="132"/>
        <v>-0.4646133813971165</v>
      </c>
      <c r="N315" s="304">
        <f t="shared" ca="1" si="133"/>
        <v>-26.620385859356812</v>
      </c>
      <c r="P315" s="310">
        <f t="shared" ca="1" si="134"/>
        <v>23</v>
      </c>
      <c r="Q315" s="304">
        <f t="shared" ca="1" si="135"/>
        <v>0</v>
      </c>
      <c r="R315" s="306">
        <f t="shared" ca="1" si="136"/>
        <v>0</v>
      </c>
      <c r="S315" s="307">
        <f t="shared" ca="1" si="137"/>
        <v>2.9792999999999985</v>
      </c>
      <c r="T315" s="304">
        <f t="shared" ca="1" si="117"/>
        <v>29.226932999999988</v>
      </c>
      <c r="U315" s="311">
        <f t="shared" ca="1" si="118"/>
        <v>0</v>
      </c>
      <c r="V315" s="306">
        <f t="shared" ca="1" si="119"/>
        <v>1.0613052427647998</v>
      </c>
      <c r="W315" s="304">
        <f t="shared" ca="1" si="120"/>
        <v>1.5369684251913041</v>
      </c>
      <c r="Y315" s="314" t="str">
        <f t="shared" ca="1" si="138"/>
        <v/>
      </c>
      <c r="Z315" s="315" t="str">
        <f t="shared" ca="1" si="139"/>
        <v/>
      </c>
      <c r="AA315" s="316" t="str">
        <f t="shared" ca="1" si="140"/>
        <v/>
      </c>
      <c r="AC315" s="310" t="e">
        <f t="shared" ca="1" si="141"/>
        <v>#N/A</v>
      </c>
      <c r="AD315" s="323" t="e">
        <f t="shared" ca="1" si="142"/>
        <v>#N/A</v>
      </c>
      <c r="AE315" s="324" t="e">
        <f t="shared" ca="1" si="121"/>
        <v>#N/A</v>
      </c>
      <c r="AG315" s="306">
        <f t="shared" ca="1" si="143"/>
        <v>3.5978610784148493</v>
      </c>
      <c r="AH315" s="304">
        <f t="shared" ca="1" si="144"/>
        <v>-0.50138876658622389</v>
      </c>
    </row>
    <row r="316" spans="1:34" x14ac:dyDescent="0.2">
      <c r="A316" s="347">
        <f t="shared" ca="1" si="122"/>
        <v>0.1</v>
      </c>
      <c r="B316" s="304">
        <f t="shared" ca="1" si="123"/>
        <v>17.799999999999947</v>
      </c>
      <c r="D316" s="306">
        <f t="shared" ca="1" si="124"/>
        <v>-0.46119621504166436</v>
      </c>
      <c r="E316" s="307">
        <f t="shared" ca="1" si="125"/>
        <v>-9.5788448601055265</v>
      </c>
      <c r="F316" s="304">
        <f t="shared" ca="1" si="126"/>
        <v>9.5899411261351766</v>
      </c>
      <c r="G316" s="306">
        <f t="shared" ca="1" si="127"/>
        <v>23.728353918251955</v>
      </c>
      <c r="H316" s="307">
        <f t="shared" ca="1" si="128"/>
        <v>-12.873836043642772</v>
      </c>
      <c r="I316" s="304">
        <f t="shared" ca="1" si="129"/>
        <v>26.995748445790841</v>
      </c>
      <c r="J316" s="306">
        <f t="shared" ca="1" si="130"/>
        <v>537.19285373163211</v>
      </c>
      <c r="K316" s="307">
        <f t="shared" ca="1" si="131"/>
        <v>1430.7194124614621</v>
      </c>
      <c r="L316" s="304">
        <f t="shared" ca="1" si="116"/>
        <v>1528.2454643460933</v>
      </c>
      <c r="M316" s="306">
        <f t="shared" ca="1" si="132"/>
        <v>-0.49710602763543732</v>
      </c>
      <c r="N316" s="304">
        <f t="shared" ca="1" si="133"/>
        <v>-28.482077354024224</v>
      </c>
      <c r="P316" s="310">
        <f t="shared" ca="1" si="134"/>
        <v>23</v>
      </c>
      <c r="Q316" s="304">
        <f t="shared" ca="1" si="135"/>
        <v>0</v>
      </c>
      <c r="R316" s="306">
        <f t="shared" ca="1" si="136"/>
        <v>0</v>
      </c>
      <c r="S316" s="307">
        <f t="shared" ca="1" si="137"/>
        <v>2.9792999999999985</v>
      </c>
      <c r="T316" s="304">
        <f t="shared" ca="1" si="117"/>
        <v>29.226932999999988</v>
      </c>
      <c r="U316" s="311">
        <f t="shared" ca="1" si="118"/>
        <v>0</v>
      </c>
      <c r="V316" s="306">
        <f t="shared" ca="1" si="119"/>
        <v>1.0614374758930234</v>
      </c>
      <c r="W316" s="304">
        <f t="shared" ca="1" si="120"/>
        <v>1.5840104111197189</v>
      </c>
      <c r="Y316" s="314" t="str">
        <f t="shared" ca="1" si="138"/>
        <v/>
      </c>
      <c r="Z316" s="315" t="str">
        <f t="shared" ca="1" si="139"/>
        <v/>
      </c>
      <c r="AA316" s="316" t="str">
        <f t="shared" ca="1" si="140"/>
        <v/>
      </c>
      <c r="AC316" s="310" t="e">
        <f t="shared" ca="1" si="141"/>
        <v>#N/A</v>
      </c>
      <c r="AD316" s="323" t="e">
        <f t="shared" ca="1" si="142"/>
        <v>#N/A</v>
      </c>
      <c r="AE316" s="324" t="e">
        <f t="shared" ca="1" si="121"/>
        <v>#N/A</v>
      </c>
      <c r="AG316" s="306">
        <f t="shared" ca="1" si="143"/>
        <v>3.8797549340394784</v>
      </c>
      <c r="AH316" s="304">
        <f t="shared" ca="1" si="144"/>
        <v>-0.51588239693595972</v>
      </c>
    </row>
    <row r="317" spans="1:34" x14ac:dyDescent="0.2">
      <c r="A317" s="347">
        <f t="shared" ca="1" si="122"/>
        <v>0.1</v>
      </c>
      <c r="B317" s="304">
        <f t="shared" ca="1" si="123"/>
        <v>17.899999999999949</v>
      </c>
      <c r="D317" s="306">
        <f t="shared" ca="1" si="124"/>
        <v>-0.46732179258336748</v>
      </c>
      <c r="E317" s="307">
        <f t="shared" ca="1" si="125"/>
        <v>-9.5564542143097508</v>
      </c>
      <c r="F317" s="304">
        <f t="shared" ca="1" si="126"/>
        <v>9.5678736826957511</v>
      </c>
      <c r="G317" s="306">
        <f t="shared" ca="1" si="127"/>
        <v>23.681621738993616</v>
      </c>
      <c r="H317" s="307">
        <f t="shared" ca="1" si="128"/>
        <v>-13.829481465073748</v>
      </c>
      <c r="I317" s="304">
        <f t="shared" ca="1" si="129"/>
        <v>27.423963349260688</v>
      </c>
      <c r="J317" s="306">
        <f t="shared" ca="1" si="130"/>
        <v>539.56335251449434</v>
      </c>
      <c r="K317" s="307">
        <f t="shared" ca="1" si="131"/>
        <v>1429.3842465860262</v>
      </c>
      <c r="L317" s="304">
        <f t="shared" ca="1" si="116"/>
        <v>1527.8311214807029</v>
      </c>
      <c r="M317" s="306">
        <f t="shared" ca="1" si="132"/>
        <v>-0.52855327304156907</v>
      </c>
      <c r="N317" s="304">
        <f t="shared" ca="1" si="133"/>
        <v>-30.283871793107739</v>
      </c>
      <c r="P317" s="310">
        <f t="shared" ca="1" si="134"/>
        <v>23</v>
      </c>
      <c r="Q317" s="304">
        <f t="shared" ca="1" si="135"/>
        <v>0</v>
      </c>
      <c r="R317" s="306">
        <f t="shared" ca="1" si="136"/>
        <v>0</v>
      </c>
      <c r="S317" s="307">
        <f t="shared" ca="1" si="137"/>
        <v>2.9792999999999985</v>
      </c>
      <c r="T317" s="304">
        <f t="shared" ca="1" si="117"/>
        <v>29.226932999999988</v>
      </c>
      <c r="U317" s="311">
        <f t="shared" ca="1" si="118"/>
        <v>0</v>
      </c>
      <c r="V317" s="306">
        <f t="shared" ca="1" si="119"/>
        <v>1.0615799332431275</v>
      </c>
      <c r="W317" s="304">
        <f t="shared" ca="1" si="120"/>
        <v>1.6348804843600786</v>
      </c>
      <c r="Y317" s="314" t="str">
        <f t="shared" ca="1" si="138"/>
        <v/>
      </c>
      <c r="Z317" s="315" t="str">
        <f t="shared" ca="1" si="139"/>
        <v/>
      </c>
      <c r="AA317" s="316" t="str">
        <f t="shared" ca="1" si="140"/>
        <v/>
      </c>
      <c r="AC317" s="310" t="e">
        <f t="shared" ca="1" si="141"/>
        <v>#N/A</v>
      </c>
      <c r="AD317" s="323" t="e">
        <f t="shared" ca="1" si="142"/>
        <v>#N/A</v>
      </c>
      <c r="AE317" s="324" t="e">
        <f t="shared" ca="1" si="121"/>
        <v>#N/A</v>
      </c>
      <c r="AG317" s="306">
        <f t="shared" ca="1" si="143"/>
        <v>4.1465584127165096</v>
      </c>
      <c r="AH317" s="304">
        <f t="shared" ca="1" si="144"/>
        <v>-0.53167200722307917</v>
      </c>
    </row>
    <row r="318" spans="1:34" x14ac:dyDescent="0.2">
      <c r="A318" s="347">
        <f t="shared" ca="1" si="122"/>
        <v>0.1</v>
      </c>
      <c r="B318" s="304">
        <f t="shared" ca="1" si="123"/>
        <v>17.99999999999995</v>
      </c>
      <c r="D318" s="306">
        <f t="shared" ca="1" si="124"/>
        <v>-0.47386321121723951</v>
      </c>
      <c r="E318" s="307">
        <f t="shared" ca="1" si="125"/>
        <v>-9.5332756029660484</v>
      </c>
      <c r="F318" s="304">
        <f t="shared" ca="1" si="126"/>
        <v>9.5450453149816319</v>
      </c>
      <c r="G318" s="306">
        <f t="shared" ca="1" si="127"/>
        <v>23.634235417871892</v>
      </c>
      <c r="H318" s="307">
        <f t="shared" ca="1" si="128"/>
        <v>-14.782809025370353</v>
      </c>
      <c r="I318" s="304">
        <f t="shared" ca="1" si="129"/>
        <v>27.876666344237815</v>
      </c>
      <c r="J318" s="306">
        <f t="shared" ca="1" si="130"/>
        <v>541.92914537233764</v>
      </c>
      <c r="K318" s="307">
        <f t="shared" ca="1" si="131"/>
        <v>1427.9536320615039</v>
      </c>
      <c r="L318" s="304">
        <f t="shared" ca="1" si="116"/>
        <v>1527.3306040021698</v>
      </c>
      <c r="M318" s="306">
        <f t="shared" ca="1" si="132"/>
        <v>-0.55894646097289702</v>
      </c>
      <c r="N318" s="304">
        <f t="shared" ca="1" si="133"/>
        <v>-32.025273187520781</v>
      </c>
      <c r="P318" s="310">
        <f t="shared" ca="1" si="134"/>
        <v>23</v>
      </c>
      <c r="Q318" s="304">
        <f t="shared" ca="1" si="135"/>
        <v>0</v>
      </c>
      <c r="R318" s="306">
        <f t="shared" ca="1" si="136"/>
        <v>0</v>
      </c>
      <c r="S318" s="307">
        <f t="shared" ca="1" si="137"/>
        <v>2.9792999999999985</v>
      </c>
      <c r="T318" s="304">
        <f t="shared" ca="1" si="117"/>
        <v>29.226932999999988</v>
      </c>
      <c r="U318" s="311">
        <f t="shared" ca="1" si="118"/>
        <v>0</v>
      </c>
      <c r="V318" s="306">
        <f t="shared" ca="1" si="119"/>
        <v>1.0617325943194087</v>
      </c>
      <c r="W318" s="304">
        <f t="shared" ca="1" si="120"/>
        <v>1.6895447281456539</v>
      </c>
      <c r="Y318" s="314" t="str">
        <f t="shared" ca="1" si="138"/>
        <v/>
      </c>
      <c r="Z318" s="315" t="str">
        <f t="shared" ca="1" si="139"/>
        <v/>
      </c>
      <c r="AA318" s="316" t="str">
        <f t="shared" ca="1" si="140"/>
        <v/>
      </c>
      <c r="AC318" s="310">
        <f t="shared" ca="1" si="141"/>
        <v>17.99999999999995</v>
      </c>
      <c r="AD318" s="323">
        <f t="shared" ca="1" si="142"/>
        <v>541.92914537233764</v>
      </c>
      <c r="AE318" s="324" t="e">
        <f t="shared" ca="1" si="121"/>
        <v>#N/A</v>
      </c>
      <c r="AG318" s="306">
        <f t="shared" ca="1" si="143"/>
        <v>4.3982850834665719</v>
      </c>
      <c r="AH318" s="304">
        <f t="shared" ca="1" si="144"/>
        <v>-0.54874651238884287</v>
      </c>
    </row>
    <row r="319" spans="1:34" x14ac:dyDescent="0.2">
      <c r="A319" s="347">
        <f t="shared" ca="1" si="122"/>
        <v>0.1</v>
      </c>
      <c r="B319" s="304">
        <f t="shared" ca="1" si="123"/>
        <v>18.099999999999952</v>
      </c>
      <c r="D319" s="306">
        <f t="shared" ca="1" si="124"/>
        <v>-0.48079083131303407</v>
      </c>
      <c r="E319" s="307">
        <f t="shared" ca="1" si="125"/>
        <v>-9.5092735785700491</v>
      </c>
      <c r="F319" s="304">
        <f t="shared" ca="1" si="126"/>
        <v>9.5214202625220317</v>
      </c>
      <c r="G319" s="306">
        <f t="shared" ca="1" si="127"/>
        <v>23.58615633474059</v>
      </c>
      <c r="H319" s="307">
        <f t="shared" ca="1" si="128"/>
        <v>-15.733736383227358</v>
      </c>
      <c r="I319" s="304">
        <f t="shared" ca="1" si="129"/>
        <v>28.352376112483341</v>
      </c>
      <c r="J319" s="306">
        <f t="shared" ca="1" si="130"/>
        <v>544.29016495996825</v>
      </c>
      <c r="K319" s="307">
        <f t="shared" ca="1" si="131"/>
        <v>1426.4278047910741</v>
      </c>
      <c r="L319" s="304">
        <f t="shared" ca="1" si="116"/>
        <v>1526.7442699919434</v>
      </c>
      <c r="M319" s="306">
        <f t="shared" ca="1" si="132"/>
        <v>-0.58828527621294702</v>
      </c>
      <c r="N319" s="304">
        <f t="shared" ca="1" si="133"/>
        <v>-33.706263476689742</v>
      </c>
      <c r="P319" s="310">
        <f t="shared" ca="1" si="134"/>
        <v>23</v>
      </c>
      <c r="Q319" s="304">
        <f t="shared" ca="1" si="135"/>
        <v>0</v>
      </c>
      <c r="R319" s="306">
        <f t="shared" ca="1" si="136"/>
        <v>0</v>
      </c>
      <c r="S319" s="307">
        <f t="shared" ca="1" si="137"/>
        <v>2.9792999999999985</v>
      </c>
      <c r="T319" s="304">
        <f t="shared" ca="1" si="117"/>
        <v>29.226932999999988</v>
      </c>
      <c r="U319" s="311">
        <f t="shared" ca="1" si="118"/>
        <v>0</v>
      </c>
      <c r="V319" s="306">
        <f t="shared" ca="1" si="119"/>
        <v>1.0618954380273933</v>
      </c>
      <c r="W319" s="304">
        <f t="shared" ca="1" si="120"/>
        <v>1.747968280119385</v>
      </c>
      <c r="Y319" s="314" t="str">
        <f t="shared" ca="1" si="138"/>
        <v/>
      </c>
      <c r="Z319" s="315" t="str">
        <f t="shared" ca="1" si="139"/>
        <v/>
      </c>
      <c r="AA319" s="316" t="str">
        <f t="shared" ca="1" si="140"/>
        <v/>
      </c>
      <c r="AC319" s="310" t="e">
        <f t="shared" ca="1" si="141"/>
        <v>#N/A</v>
      </c>
      <c r="AD319" s="323" t="e">
        <f t="shared" ca="1" si="142"/>
        <v>#N/A</v>
      </c>
      <c r="AE319" s="324" t="e">
        <f t="shared" ca="1" si="121"/>
        <v>#N/A</v>
      </c>
      <c r="AG319" s="306">
        <f t="shared" ca="1" si="143"/>
        <v>4.6350826168532455</v>
      </c>
      <c r="AH319" s="304">
        <f t="shared" ca="1" si="144"/>
        <v>-0.56709452829377871</v>
      </c>
    </row>
    <row r="320" spans="1:34" x14ac:dyDescent="0.2">
      <c r="A320" s="347">
        <f t="shared" ca="1" si="122"/>
        <v>0.1</v>
      </c>
      <c r="B320" s="304">
        <f t="shared" ca="1" si="123"/>
        <v>18.199999999999953</v>
      </c>
      <c r="D320" s="306">
        <f t="shared" ca="1" si="124"/>
        <v>-0.4880755160322422</v>
      </c>
      <c r="E320" s="307">
        <f t="shared" ca="1" si="125"/>
        <v>-9.4844170014235001</v>
      </c>
      <c r="F320" s="304">
        <f t="shared" ca="1" si="126"/>
        <v>9.4969670719783625</v>
      </c>
      <c r="G320" s="306">
        <f t="shared" ca="1" si="127"/>
        <v>23.537348783137364</v>
      </c>
      <c r="H320" s="307">
        <f t="shared" ca="1" si="128"/>
        <v>-16.682178083369706</v>
      </c>
      <c r="I320" s="304">
        <f t="shared" ca="1" si="129"/>
        <v>28.849642170126106</v>
      </c>
      <c r="J320" s="306">
        <f t="shared" ca="1" si="130"/>
        <v>546.6463402158621</v>
      </c>
      <c r="K320" s="307">
        <f t="shared" ca="1" si="131"/>
        <v>1424.8070090677443</v>
      </c>
      <c r="L320" s="304">
        <f t="shared" ca="1" si="116"/>
        <v>1526.0724866008059</v>
      </c>
      <c r="M320" s="306">
        <f t="shared" ca="1" si="132"/>
        <v>-0.61657666223759311</v>
      </c>
      <c r="N320" s="304">
        <f t="shared" ca="1" si="133"/>
        <v>-35.327240492477365</v>
      </c>
      <c r="P320" s="310">
        <f t="shared" ca="1" si="134"/>
        <v>23</v>
      </c>
      <c r="Q320" s="304">
        <f t="shared" ca="1" si="135"/>
        <v>0</v>
      </c>
      <c r="R320" s="306">
        <f t="shared" ca="1" si="136"/>
        <v>0</v>
      </c>
      <c r="S320" s="307">
        <f t="shared" ca="1" si="137"/>
        <v>2.9792999999999985</v>
      </c>
      <c r="T320" s="304">
        <f t="shared" ca="1" si="117"/>
        <v>29.226932999999988</v>
      </c>
      <c r="U320" s="311">
        <f t="shared" ca="1" si="118"/>
        <v>0</v>
      </c>
      <c r="V320" s="306">
        <f t="shared" ca="1" si="119"/>
        <v>1.0620684426357472</v>
      </c>
      <c r="W320" s="304">
        <f t="shared" ca="1" si="120"/>
        <v>1.8101152860506329</v>
      </c>
      <c r="Y320" s="314" t="str">
        <f t="shared" ca="1" si="138"/>
        <v/>
      </c>
      <c r="Z320" s="315" t="str">
        <f t="shared" ca="1" si="139"/>
        <v/>
      </c>
      <c r="AA320" s="316" t="str">
        <f t="shared" ca="1" si="140"/>
        <v/>
      </c>
      <c r="AC320" s="310" t="e">
        <f t="shared" ca="1" si="141"/>
        <v>#N/A</v>
      </c>
      <c r="AD320" s="323" t="e">
        <f t="shared" ca="1" si="142"/>
        <v>#N/A</v>
      </c>
      <c r="AE320" s="324" t="e">
        <f t="shared" ca="1" si="121"/>
        <v>#N/A</v>
      </c>
      <c r="AG320" s="306">
        <f t="shared" ca="1" si="143"/>
        <v>4.8572116452725513</v>
      </c>
      <c r="AH320" s="304">
        <f t="shared" ca="1" si="144"/>
        <v>-0.58670435341166915</v>
      </c>
    </row>
    <row r="321" spans="1:34" x14ac:dyDescent="0.2">
      <c r="A321" s="347">
        <f t="shared" ca="1" si="122"/>
        <v>0.1</v>
      </c>
      <c r="B321" s="304">
        <f t="shared" ca="1" si="123"/>
        <v>18.299999999999955</v>
      </c>
      <c r="D321" s="306">
        <f t="shared" ca="1" si="124"/>
        <v>-0.49568880585857628</v>
      </c>
      <c r="E321" s="307">
        <f t="shared" ca="1" si="125"/>
        <v>-9.4586788291470683</v>
      </c>
      <c r="F321" s="304">
        <f t="shared" ca="1" si="126"/>
        <v>9.4716583862177206</v>
      </c>
      <c r="G321" s="306">
        <f t="shared" ca="1" si="127"/>
        <v>23.487779902551505</v>
      </c>
      <c r="H321" s="307">
        <f t="shared" ca="1" si="128"/>
        <v>-17.628045966284414</v>
      </c>
      <c r="I321" s="304">
        <f t="shared" ca="1" si="129"/>
        <v>29.367053126593049</v>
      </c>
      <c r="J321" s="306">
        <f t="shared" ca="1" si="130"/>
        <v>548.99759665014653</v>
      </c>
      <c r="K321" s="307">
        <f t="shared" ca="1" si="131"/>
        <v>1423.0914978652615</v>
      </c>
      <c r="L321" s="304">
        <f t="shared" ca="1" si="116"/>
        <v>1525.3156304267095</v>
      </c>
      <c r="M321" s="306">
        <f t="shared" ca="1" si="132"/>
        <v>-0.64383375475659155</v>
      </c>
      <c r="N321" s="304">
        <f t="shared" ca="1" si="133"/>
        <v>-36.888956855613586</v>
      </c>
      <c r="P321" s="310">
        <f t="shared" ca="1" si="134"/>
        <v>23</v>
      </c>
      <c r="Q321" s="304">
        <f t="shared" ca="1" si="135"/>
        <v>0</v>
      </c>
      <c r="R321" s="306">
        <f t="shared" ca="1" si="136"/>
        <v>0</v>
      </c>
      <c r="S321" s="307">
        <f t="shared" ca="1" si="137"/>
        <v>2.9792999999999985</v>
      </c>
      <c r="T321" s="304">
        <f t="shared" ca="1" si="117"/>
        <v>29.226932999999988</v>
      </c>
      <c r="U321" s="311">
        <f t="shared" ca="1" si="118"/>
        <v>0</v>
      </c>
      <c r="V321" s="306">
        <f t="shared" ca="1" si="119"/>
        <v>1.0622515857425472</v>
      </c>
      <c r="W321" s="304">
        <f t="shared" ca="1" si="120"/>
        <v>1.8759488614166677</v>
      </c>
      <c r="Y321" s="314" t="str">
        <f t="shared" ca="1" si="138"/>
        <v/>
      </c>
      <c r="Z321" s="315" t="str">
        <f t="shared" ca="1" si="139"/>
        <v/>
      </c>
      <c r="AA321" s="316" t="str">
        <f t="shared" ca="1" si="140"/>
        <v/>
      </c>
      <c r="AC321" s="310" t="e">
        <f t="shared" ca="1" si="141"/>
        <v>#N/A</v>
      </c>
      <c r="AD321" s="323" t="e">
        <f t="shared" ca="1" si="142"/>
        <v>#N/A</v>
      </c>
      <c r="AE321" s="324" t="e">
        <f t="shared" ca="1" si="121"/>
        <v>#N/A</v>
      </c>
      <c r="AG321" s="306">
        <f t="shared" ca="1" si="143"/>
        <v>5.0650251912362405</v>
      </c>
      <c r="AH321" s="304">
        <f t="shared" ca="1" si="144"/>
        <v>-0.60756395329461077</v>
      </c>
    </row>
    <row r="322" spans="1:34" x14ac:dyDescent="0.2">
      <c r="A322" s="347">
        <f t="shared" ca="1" si="122"/>
        <v>0.1</v>
      </c>
      <c r="B322" s="304">
        <f t="shared" ca="1" si="123"/>
        <v>18.399999999999956</v>
      </c>
      <c r="D322" s="306">
        <f t="shared" ca="1" si="124"/>
        <v>-0.50360305777147907</v>
      </c>
      <c r="E322" s="307">
        <f t="shared" ca="1" si="125"/>
        <v>-9.4320358889605984</v>
      </c>
      <c r="F322" s="304">
        <f t="shared" ca="1" si="126"/>
        <v>9.4454707161918368</v>
      </c>
      <c r="G322" s="306">
        <f t="shared" ca="1" si="127"/>
        <v>23.437419596774358</v>
      </c>
      <c r="H322" s="307">
        <f t="shared" ca="1" si="128"/>
        <v>-18.571249555180476</v>
      </c>
      <c r="I322" s="304">
        <f t="shared" ca="1" si="129"/>
        <v>29.903243091612218</v>
      </c>
      <c r="J322" s="306">
        <f t="shared" ca="1" si="130"/>
        <v>551.34385662511283</v>
      </c>
      <c r="K322" s="307">
        <f t="shared" ca="1" si="131"/>
        <v>1421.2815330891883</v>
      </c>
      <c r="L322" s="304">
        <f t="shared" ca="1" si="116"/>
        <v>1524.4740878541052</v>
      </c>
      <c r="M322" s="306">
        <f t="shared" ca="1" si="132"/>
        <v>-0.67007486217909018</v>
      </c>
      <c r="N322" s="304">
        <f t="shared" ca="1" si="133"/>
        <v>-38.392461560672174</v>
      </c>
      <c r="P322" s="310">
        <f t="shared" ca="1" si="134"/>
        <v>23</v>
      </c>
      <c r="Q322" s="304">
        <f t="shared" ca="1" si="135"/>
        <v>0</v>
      </c>
      <c r="R322" s="306">
        <f t="shared" ca="1" si="136"/>
        <v>0</v>
      </c>
      <c r="S322" s="307">
        <f t="shared" ca="1" si="137"/>
        <v>2.9792999999999985</v>
      </c>
      <c r="T322" s="304">
        <f t="shared" ca="1" si="117"/>
        <v>29.226932999999988</v>
      </c>
      <c r="U322" s="311">
        <f t="shared" ca="1" si="118"/>
        <v>0</v>
      </c>
      <c r="V322" s="306">
        <f t="shared" ca="1" si="119"/>
        <v>1.0624448442456771</v>
      </c>
      <c r="W322" s="304">
        <f t="shared" ca="1" si="120"/>
        <v>1.9454310604237863</v>
      </c>
      <c r="Y322" s="314" t="str">
        <f t="shared" ca="1" si="138"/>
        <v/>
      </c>
      <c r="Z322" s="315" t="str">
        <f t="shared" ca="1" si="139"/>
        <v/>
      </c>
      <c r="AA322" s="316" t="str">
        <f t="shared" ca="1" si="140"/>
        <v/>
      </c>
      <c r="AC322" s="310" t="e">
        <f t="shared" ca="1" si="141"/>
        <v>#N/A</v>
      </c>
      <c r="AD322" s="323" t="e">
        <f t="shared" ca="1" si="142"/>
        <v>#N/A</v>
      </c>
      <c r="AE322" s="324" t="e">
        <f t="shared" ca="1" si="121"/>
        <v>#N/A</v>
      </c>
      <c r="AG322" s="306">
        <f t="shared" ca="1" si="143"/>
        <v>5.2589493321412553</v>
      </c>
      <c r="AH322" s="304">
        <f t="shared" ca="1" si="144"/>
        <v>-0.62966094767786684</v>
      </c>
    </row>
    <row r="323" spans="1:34" x14ac:dyDescent="0.2">
      <c r="A323" s="347">
        <f t="shared" ca="1" si="122"/>
        <v>0.1</v>
      </c>
      <c r="B323" s="304">
        <f t="shared" ca="1" si="123"/>
        <v>18.499999999999957</v>
      </c>
      <c r="D323" s="306">
        <f t="shared" ca="1" si="124"/>
        <v>-0.51179155186024905</v>
      </c>
      <c r="E323" s="307">
        <f t="shared" ca="1" si="125"/>
        <v>-9.4044686406033424</v>
      </c>
      <c r="F323" s="304">
        <f t="shared" ca="1" si="126"/>
        <v>9.4183842034951617</v>
      </c>
      <c r="G323" s="306">
        <f t="shared" ca="1" si="127"/>
        <v>23.386240441588335</v>
      </c>
      <c r="H323" s="307">
        <f t="shared" ca="1" si="128"/>
        <v>-19.51169641924081</v>
      </c>
      <c r="I323" s="304">
        <f t="shared" ca="1" si="129"/>
        <v>30.45689641359402</v>
      </c>
      <c r="J323" s="306">
        <f t="shared" ca="1" si="130"/>
        <v>553.68503962703096</v>
      </c>
      <c r="K323" s="307">
        <f t="shared" ca="1" si="131"/>
        <v>1419.3773857904673</v>
      </c>
      <c r="L323" s="304">
        <f t="shared" ca="1" si="116"/>
        <v>1523.5482553566092</v>
      </c>
      <c r="M323" s="306">
        <f t="shared" ca="1" si="132"/>
        <v>-0.69532251477334461</v>
      </c>
      <c r="N323" s="304">
        <f t="shared" ca="1" si="133"/>
        <v>-39.839045496935476</v>
      </c>
      <c r="P323" s="310">
        <f t="shared" ca="1" si="134"/>
        <v>23</v>
      </c>
      <c r="Q323" s="304">
        <f t="shared" ca="1" si="135"/>
        <v>0</v>
      </c>
      <c r="R323" s="306">
        <f t="shared" ca="1" si="136"/>
        <v>0</v>
      </c>
      <c r="S323" s="307">
        <f t="shared" ca="1" si="137"/>
        <v>2.9792999999999985</v>
      </c>
      <c r="T323" s="304">
        <f t="shared" ca="1" si="117"/>
        <v>29.226932999999988</v>
      </c>
      <c r="U323" s="311">
        <f t="shared" ca="1" si="118"/>
        <v>0</v>
      </c>
      <c r="V323" s="306">
        <f t="shared" ca="1" si="119"/>
        <v>1.062648194317096</v>
      </c>
      <c r="W323" s="304">
        <f t="shared" ca="1" si="120"/>
        <v>2.0185228520230361</v>
      </c>
      <c r="Y323" s="314" t="str">
        <f t="shared" ca="1" si="138"/>
        <v/>
      </c>
      <c r="Z323" s="315" t="str">
        <f t="shared" ca="1" si="139"/>
        <v/>
      </c>
      <c r="AA323" s="316" t="str">
        <f t="shared" ca="1" si="140"/>
        <v/>
      </c>
      <c r="AC323" s="310" t="e">
        <f t="shared" ca="1" si="141"/>
        <v>#N/A</v>
      </c>
      <c r="AD323" s="323" t="e">
        <f t="shared" ca="1" si="142"/>
        <v>#N/A</v>
      </c>
      <c r="AE323" s="324" t="e">
        <f t="shared" ca="1" si="121"/>
        <v>#N/A</v>
      </c>
      <c r="AG323" s="306">
        <f t="shared" ca="1" si="143"/>
        <v>5.4394655527214599</v>
      </c>
      <c r="AH323" s="304">
        <f t="shared" ca="1" si="144"/>
        <v>-0.65298260008182707</v>
      </c>
    </row>
    <row r="324" spans="1:34" x14ac:dyDescent="0.2">
      <c r="A324" s="347">
        <f t="shared" ca="1" si="122"/>
        <v>0.1</v>
      </c>
      <c r="B324" s="304">
        <f t="shared" ca="1" si="123"/>
        <v>18.599999999999959</v>
      </c>
      <c r="D324" s="306">
        <f t="shared" ca="1" si="124"/>
        <v>-0.52022856875832468</v>
      </c>
      <c r="E324" s="307">
        <f t="shared" ca="1" si="125"/>
        <v>-9.3759609364069654</v>
      </c>
      <c r="F324" s="304">
        <f t="shared" ca="1" si="126"/>
        <v>9.3903823801153976</v>
      </c>
      <c r="G324" s="306">
        <f t="shared" ca="1" si="127"/>
        <v>23.334217584712501</v>
      </c>
      <c r="H324" s="307">
        <f t="shared" ca="1" si="128"/>
        <v>-20.449292512881506</v>
      </c>
      <c r="I324" s="304">
        <f t="shared" ca="1" si="129"/>
        <v>31.026750950882654</v>
      </c>
      <c r="J324" s="306">
        <f t="shared" ca="1" si="130"/>
        <v>556.02106252834596</v>
      </c>
      <c r="K324" s="307">
        <f t="shared" ca="1" si="131"/>
        <v>1417.3793363438613</v>
      </c>
      <c r="L324" s="304">
        <f t="shared" ref="L324:L387" ca="1" si="145">SQRT(pos_x^2+pos_z^2)</f>
        <v>1522.5385397649925</v>
      </c>
      <c r="M324" s="306">
        <f t="shared" ca="1" si="132"/>
        <v>-0.71960259647913583</v>
      </c>
      <c r="N324" s="304">
        <f t="shared" ca="1" si="133"/>
        <v>-41.230191704910119</v>
      </c>
      <c r="P324" s="310">
        <f t="shared" ca="1" si="134"/>
        <v>23</v>
      </c>
      <c r="Q324" s="304">
        <f t="shared" ca="1" si="135"/>
        <v>0</v>
      </c>
      <c r="R324" s="306">
        <f t="shared" ca="1" si="136"/>
        <v>0</v>
      </c>
      <c r="S324" s="307">
        <f t="shared" ca="1" si="137"/>
        <v>2.9792999999999985</v>
      </c>
      <c r="T324" s="304">
        <f t="shared" ref="T324:T387" ca="1" si="146">m*g</f>
        <v>29.226932999999988</v>
      </c>
      <c r="U324" s="311">
        <f t="shared" ref="U324:U387" ca="1" si="147">IF(pos_xz&lt;L_rampe,Poids*COS(Beta),0)</f>
        <v>0</v>
      </c>
      <c r="V324" s="306">
        <f t="shared" ref="V324:V387" ca="1" si="148">Rho_moyen*(20000-Alt_rampe-pos_z)/(20000+Alt_rampe+pos_z)</f>
        <v>1.0628616113807294</v>
      </c>
      <c r="W324" s="304">
        <f t="shared" ref="W324:W387" ca="1" si="149">1/2*Rho*Sref*Cx*vit_xz^2</f>
        <v>2.0951841024673765</v>
      </c>
      <c r="Y324" s="314" t="str">
        <f t="shared" ca="1" si="138"/>
        <v/>
      </c>
      <c r="Z324" s="315" t="str">
        <f t="shared" ca="1" si="139"/>
        <v/>
      </c>
      <c r="AA324" s="316" t="str">
        <f t="shared" ca="1" si="140"/>
        <v/>
      </c>
      <c r="AC324" s="310" t="e">
        <f t="shared" ca="1" si="141"/>
        <v>#N/A</v>
      </c>
      <c r="AD324" s="323" t="e">
        <f t="shared" ca="1" si="142"/>
        <v>#N/A</v>
      </c>
      <c r="AE324" s="324" t="e">
        <f t="shared" ref="AE324:AE387" ca="1" si="150">IF(t&lt;T_para, pos_z, NA())</f>
        <v>#N/A</v>
      </c>
      <c r="AG324" s="306">
        <f t="shared" ca="1" si="143"/>
        <v>5.6070950472827876</v>
      </c>
      <c r="AH324" s="304">
        <f t="shared" ca="1" si="144"/>
        <v>-0.67751580976170145</v>
      </c>
    </row>
    <row r="325" spans="1:34" x14ac:dyDescent="0.2">
      <c r="A325" s="347">
        <f t="shared" ref="A325:A388" ca="1" si="151">IF(B324+0.01&lt;=T_ini+ROUNDUP(Temps_fin_propu,0), 0.01, IF(K324&gt;0, 0.1, 0.0001))</f>
        <v>0.1</v>
      </c>
      <c r="B325" s="304">
        <f t="shared" ref="B325:B388" ca="1" si="152">B324+pas</f>
        <v>18.69999999999996</v>
      </c>
      <c r="D325" s="306">
        <f t="shared" ref="D325:D388" ca="1" si="153">IF(AND(L324&lt;L_rampe,Poussee&lt;Poids*SIN(M324)),0,(-W324+Poussee)/m*COS(M324)-U324/m*SIN(M324))</f>
        <v>-0.52888944155858419</v>
      </c>
      <c r="E325" s="307">
        <f t="shared" ref="E325:E388" ca="1" si="154">IF(AND(L324&lt;L_rampe,Poussee&lt;Poids*SIN(M324)),0,(-W324+Poussee)/m*SIN(M324)+U324/m*COS(M324)-Poids/m)</f>
        <v>-9.3464997837128347</v>
      </c>
      <c r="F325" s="304">
        <f t="shared" ref="F325:F388" ca="1" si="155">SQRT(acc_x^2+acc_z^2)</f>
        <v>9.3614519305680464</v>
      </c>
      <c r="G325" s="306">
        <f t="shared" ref="G325:G388" ca="1" si="156">G324+acc_x*pas</f>
        <v>23.281328640556644</v>
      </c>
      <c r="H325" s="307">
        <f t="shared" ref="H325:H388" ca="1" si="157">H324+acc_z*pas</f>
        <v>-21.383942491252789</v>
      </c>
      <c r="I325" s="304">
        <f t="shared" ref="I325:I388" ca="1" si="158">SQRT(vit_x^2+vit_z^2)</f>
        <v>31.611600081913121</v>
      </c>
      <c r="J325" s="306">
        <f t="shared" ref="J325:J388" ca="1" si="159">J324+0.5*(vit_x+G324)*pas*(K324&gt;=0)</f>
        <v>558.3518398396094</v>
      </c>
      <c r="K325" s="307">
        <f t="shared" ref="K325:K388" ca="1" si="160">K324+0.5*(vit_z+H324)*pas</f>
        <v>1415.2876745936546</v>
      </c>
      <c r="L325" s="304">
        <f t="shared" ca="1" si="145"/>
        <v>1521.4453585025626</v>
      </c>
      <c r="M325" s="306">
        <f t="shared" ref="M325:M388" ca="1" si="161">IF(AND(L324&gt;L_rampe,G325&gt;0),ATAN2(G325,H325),$M$4)</f>
        <v>-0.74294356681204754</v>
      </c>
      <c r="N325" s="304">
        <f t="shared" ref="N325:N388" ca="1" si="162">DEGREES(Beta)</f>
        <v>-42.567530794726018</v>
      </c>
      <c r="P325" s="310">
        <f t="shared" ref="P325:P388" ca="1" si="163">MATCH(t-pas/2-T_ini,CdP_t)</f>
        <v>23</v>
      </c>
      <c r="Q325" s="304">
        <f t="shared" ref="Q325:Q388" ca="1" si="164">(INDEX(CdP,2,i_P+1)-INDEX(CdP,2,i_P+0))/(INDEX(CdP,1,i_P+1)-INDEX(CdP,1,i_P+0))*(t-pas/2-T_ini-INDEX(CdP,1,i_P+0))+INDEX(CdP,2,i_P+0)</f>
        <v>0</v>
      </c>
      <c r="R325" s="306">
        <f t="shared" ref="R325:R388" ca="1" si="165">Poussee/(g*ISP)</f>
        <v>0</v>
      </c>
      <c r="S325" s="307">
        <f t="shared" ref="S325:S388" ca="1" si="166">S324-Débit*pas</f>
        <v>2.9792999999999985</v>
      </c>
      <c r="T325" s="304">
        <f t="shared" ca="1" si="146"/>
        <v>29.226932999999988</v>
      </c>
      <c r="U325" s="311">
        <f t="shared" ca="1" si="147"/>
        <v>0</v>
      </c>
      <c r="V325" s="306">
        <f t="shared" ca="1" si="148"/>
        <v>1.0630850700937293</v>
      </c>
      <c r="W325" s="304">
        <f t="shared" ca="1" si="149"/>
        <v>2.1753735639584413</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t="e">
        <f t="shared" ca="1" si="150"/>
        <v>#N/A</v>
      </c>
      <c r="AG325" s="306">
        <f t="shared" ref="AG325:AG388" ca="1" si="172">IF(AND(L324&lt;L_rampe,Poussee&lt;Poids*SIN(M324)),0,(-W324+Poussee)/m-Poids*SIN(M324)/m)</f>
        <v>5.7623850793844138</v>
      </c>
      <c r="AH325" s="304">
        <f t="shared" ref="AH325:AH388" ca="1" si="173">IF(AND(L324&lt;L_rampe,Poussee&lt;Poids*SIN(M324)), g*SIN(M324), (-W324+Poussee)/m)</f>
        <v>-0.70324710585284378</v>
      </c>
    </row>
    <row r="326" spans="1:34" x14ac:dyDescent="0.2">
      <c r="A326" s="347">
        <f t="shared" ca="1" si="151"/>
        <v>0.1</v>
      </c>
      <c r="B326" s="304">
        <f t="shared" ca="1" si="152"/>
        <v>18.799999999999962</v>
      </c>
      <c r="D326" s="306">
        <f t="shared" ca="1" si="153"/>
        <v>-0.53775058591561964</v>
      </c>
      <c r="E326" s="307">
        <f t="shared" ca="1" si="154"/>
        <v>-9.3160751136073419</v>
      </c>
      <c r="F326" s="304">
        <f t="shared" ca="1" si="155"/>
        <v>9.3315824603883044</v>
      </c>
      <c r="G326" s="306">
        <f t="shared" ca="1" si="156"/>
        <v>23.227553581965083</v>
      </c>
      <c r="H326" s="307">
        <f t="shared" ca="1" si="157"/>
        <v>-22.315550002613524</v>
      </c>
      <c r="I326" s="304">
        <f t="shared" ca="1" si="158"/>
        <v>32.210293654703044</v>
      </c>
      <c r="J326" s="306">
        <f t="shared" ca="1" si="159"/>
        <v>560.6772839507355</v>
      </c>
      <c r="K326" s="307">
        <f t="shared" ca="1" si="160"/>
        <v>1413.1026999689614</v>
      </c>
      <c r="L326" s="304">
        <f t="shared" ca="1" si="145"/>
        <v>1520.269139790038</v>
      </c>
      <c r="M326" s="306">
        <f t="shared" ca="1" si="161"/>
        <v>-0.76537577512237986</v>
      </c>
      <c r="N326" s="304">
        <f t="shared" ca="1" si="162"/>
        <v>-43.852801656066354</v>
      </c>
      <c r="P326" s="310">
        <f t="shared" ca="1" si="163"/>
        <v>23</v>
      </c>
      <c r="Q326" s="304">
        <f t="shared" ca="1" si="164"/>
        <v>0</v>
      </c>
      <c r="R326" s="306">
        <f t="shared" ca="1" si="165"/>
        <v>0</v>
      </c>
      <c r="S326" s="307">
        <f t="shared" ca="1" si="166"/>
        <v>2.9792999999999985</v>
      </c>
      <c r="T326" s="304">
        <f t="shared" ca="1" si="146"/>
        <v>29.226932999999988</v>
      </c>
      <c r="U326" s="311">
        <f t="shared" ca="1" si="147"/>
        <v>0</v>
      </c>
      <c r="V326" s="306">
        <f t="shared" ca="1" si="148"/>
        <v>1.0633185443308517</v>
      </c>
      <c r="W326" s="304">
        <f t="shared" ca="1" si="149"/>
        <v>2.259048868939812</v>
      </c>
      <c r="Y326" s="314" t="str">
        <f t="shared" ca="1" si="167"/>
        <v/>
      </c>
      <c r="Z326" s="315" t="str">
        <f t="shared" ca="1" si="168"/>
        <v/>
      </c>
      <c r="AA326" s="316" t="str">
        <f t="shared" ca="1" si="169"/>
        <v/>
      </c>
      <c r="AC326" s="310" t="e">
        <f t="shared" ca="1" si="170"/>
        <v>#N/A</v>
      </c>
      <c r="AD326" s="323" t="e">
        <f t="shared" ca="1" si="171"/>
        <v>#N/A</v>
      </c>
      <c r="AE326" s="324" t="e">
        <f t="shared" ca="1" si="150"/>
        <v>#N/A</v>
      </c>
      <c r="AG326" s="306">
        <f t="shared" ca="1" si="172"/>
        <v>5.9058973880615584</v>
      </c>
      <c r="AH326" s="304">
        <f t="shared" ca="1" si="173"/>
        <v>-0.73016264356004512</v>
      </c>
    </row>
    <row r="327" spans="1:34" x14ac:dyDescent="0.2">
      <c r="A327" s="347">
        <f t="shared" ca="1" si="151"/>
        <v>0.1</v>
      </c>
      <c r="B327" s="304">
        <f t="shared" ca="1" si="152"/>
        <v>18.899999999999963</v>
      </c>
      <c r="D327" s="306">
        <f t="shared" ca="1" si="153"/>
        <v>-0.54678951191228609</v>
      </c>
      <c r="E327" s="307">
        <f t="shared" ca="1" si="154"/>
        <v>-9.2846795588728135</v>
      </c>
      <c r="F327" s="304">
        <f t="shared" ca="1" si="155"/>
        <v>9.3007662738770041</v>
      </c>
      <c r="G327" s="306">
        <f t="shared" ca="1" si="156"/>
        <v>23.172874630773855</v>
      </c>
      <c r="H327" s="307">
        <f t="shared" ca="1" si="157"/>
        <v>-23.244017958500805</v>
      </c>
      <c r="I327" s="304">
        <f t="shared" ca="1" si="158"/>
        <v>32.821738063494905</v>
      </c>
      <c r="J327" s="306">
        <f t="shared" ca="1" si="159"/>
        <v>562.99730536137247</v>
      </c>
      <c r="K327" s="307">
        <f t="shared" ca="1" si="160"/>
        <v>1410.8247215709057</v>
      </c>
      <c r="L327" s="304">
        <f t="shared" ca="1" si="145"/>
        <v>1519.0103228219978</v>
      </c>
      <c r="M327" s="306">
        <f t="shared" ca="1" si="161"/>
        <v>-0.78693086556790737</v>
      </c>
      <c r="N327" s="304">
        <f t="shared" ca="1" si="162"/>
        <v>-45.087817365617845</v>
      </c>
      <c r="P327" s="310">
        <f t="shared" ca="1" si="163"/>
        <v>23</v>
      </c>
      <c r="Q327" s="304">
        <f t="shared" ca="1" si="164"/>
        <v>0</v>
      </c>
      <c r="R327" s="306">
        <f t="shared" ca="1" si="165"/>
        <v>0</v>
      </c>
      <c r="S327" s="307">
        <f t="shared" ca="1" si="166"/>
        <v>2.9792999999999985</v>
      </c>
      <c r="T327" s="304">
        <f t="shared" ca="1" si="146"/>
        <v>29.226932999999988</v>
      </c>
      <c r="U327" s="311">
        <f t="shared" ca="1" si="147"/>
        <v>0</v>
      </c>
      <c r="V327" s="306">
        <f t="shared" ca="1" si="148"/>
        <v>1.0635620071717111</v>
      </c>
      <c r="W327" s="304">
        <f t="shared" ca="1" si="149"/>
        <v>2.3461665296079466</v>
      </c>
      <c r="Y327" s="314" t="str">
        <f t="shared" ca="1" si="167"/>
        <v/>
      </c>
      <c r="Z327" s="315" t="str">
        <f t="shared" ca="1" si="168"/>
        <v/>
      </c>
      <c r="AA327" s="316" t="str">
        <f t="shared" ca="1" si="169"/>
        <v/>
      </c>
      <c r="AC327" s="310" t="e">
        <f t="shared" ca="1" si="170"/>
        <v>#N/A</v>
      </c>
      <c r="AD327" s="323" t="e">
        <f t="shared" ca="1" si="171"/>
        <v>#N/A</v>
      </c>
      <c r="AE327" s="324" t="e">
        <f t="shared" ca="1" si="150"/>
        <v>#N/A</v>
      </c>
      <c r="AG327" s="306">
        <f t="shared" ca="1" si="172"/>
        <v>6.0381985446404913</v>
      </c>
      <c r="AH327" s="304">
        <f t="shared" ca="1" si="173"/>
        <v>-0.75824820224207468</v>
      </c>
    </row>
    <row r="328" spans="1:34" x14ac:dyDescent="0.2">
      <c r="A328" s="347">
        <f t="shared" ca="1" si="151"/>
        <v>0.1</v>
      </c>
      <c r="B328" s="304">
        <f t="shared" ca="1" si="152"/>
        <v>18.999999999999964</v>
      </c>
      <c r="D328" s="306">
        <f t="shared" ca="1" si="153"/>
        <v>-0.55598482102102309</v>
      </c>
      <c r="E328" s="307">
        <f t="shared" ca="1" si="154"/>
        <v>-9.2523082431342303</v>
      </c>
      <c r="F328" s="304">
        <f t="shared" ca="1" si="155"/>
        <v>9.2689981630797309</v>
      </c>
      <c r="G328" s="306">
        <f t="shared" ca="1" si="156"/>
        <v>23.117276148671753</v>
      </c>
      <c r="H328" s="307">
        <f t="shared" ca="1" si="157"/>
        <v>-24.169248782814229</v>
      </c>
      <c r="I328" s="304">
        <f t="shared" ca="1" si="158"/>
        <v>33.444895623390948</v>
      </c>
      <c r="J328" s="306">
        <f t="shared" ca="1" si="159"/>
        <v>565.31181290034476</v>
      </c>
      <c r="K328" s="307">
        <f t="shared" ca="1" si="160"/>
        <v>1408.45405823384</v>
      </c>
      <c r="L328" s="304">
        <f t="shared" ca="1" si="145"/>
        <v>1517.66935791695</v>
      </c>
      <c r="M328" s="306">
        <f t="shared" ca="1" si="161"/>
        <v>-0.80764126838598338</v>
      </c>
      <c r="N328" s="304">
        <f t="shared" ca="1" si="162"/>
        <v>-46.274436039109446</v>
      </c>
      <c r="P328" s="310">
        <f t="shared" ca="1" si="163"/>
        <v>23</v>
      </c>
      <c r="Q328" s="304">
        <f t="shared" ca="1" si="164"/>
        <v>0</v>
      </c>
      <c r="R328" s="306">
        <f t="shared" ca="1" si="165"/>
        <v>0</v>
      </c>
      <c r="S328" s="307">
        <f t="shared" ca="1" si="166"/>
        <v>2.9792999999999985</v>
      </c>
      <c r="T328" s="304">
        <f t="shared" ca="1" si="146"/>
        <v>29.226932999999988</v>
      </c>
      <c r="U328" s="311">
        <f t="shared" ca="1" si="147"/>
        <v>0</v>
      </c>
      <c r="V328" s="306">
        <f t="shared" ca="1" si="148"/>
        <v>1.0638154308906886</v>
      </c>
      <c r="W328" s="304">
        <f t="shared" ca="1" si="149"/>
        <v>2.4366819422300154</v>
      </c>
      <c r="Y328" s="314" t="str">
        <f t="shared" ca="1" si="167"/>
        <v/>
      </c>
      <c r="Z328" s="315" t="str">
        <f t="shared" ca="1" si="168"/>
        <v/>
      </c>
      <c r="AA328" s="316" t="str">
        <f t="shared" ca="1" si="169"/>
        <v/>
      </c>
      <c r="AC328" s="310">
        <f t="shared" ca="1" si="170"/>
        <v>18.999999999999964</v>
      </c>
      <c r="AD328" s="323">
        <f t="shared" ca="1" si="171"/>
        <v>565.31181290034476</v>
      </c>
      <c r="AE328" s="324" t="e">
        <f t="shared" ca="1" si="150"/>
        <v>#N/A</v>
      </c>
      <c r="AG328" s="306">
        <f t="shared" ca="1" si="172"/>
        <v>6.1598521082504663</v>
      </c>
      <c r="AH328" s="304">
        <f t="shared" ca="1" si="173"/>
        <v>-0.78748918524752387</v>
      </c>
    </row>
    <row r="329" spans="1:34" x14ac:dyDescent="0.2">
      <c r="A329" s="347">
        <f t="shared" ca="1" si="151"/>
        <v>0.1</v>
      </c>
      <c r="B329" s="304">
        <f t="shared" ca="1" si="152"/>
        <v>19.099999999999966</v>
      </c>
      <c r="D329" s="306">
        <f t="shared" ca="1" si="153"/>
        <v>-0.56531619117196508</v>
      </c>
      <c r="E329" s="307">
        <f t="shared" ca="1" si="154"/>
        <v>-9.2189585824248059</v>
      </c>
      <c r="F329" s="304">
        <f t="shared" ca="1" si="155"/>
        <v>9.2362752092207145</v>
      </c>
      <c r="G329" s="306">
        <f t="shared" ca="1" si="156"/>
        <v>23.060744529554555</v>
      </c>
      <c r="H329" s="307">
        <f t="shared" ca="1" si="157"/>
        <v>-25.091144641056708</v>
      </c>
      <c r="I329" s="304">
        <f t="shared" ca="1" si="158"/>
        <v>34.07878339459625</v>
      </c>
      <c r="J329" s="306">
        <f t="shared" ca="1" si="159"/>
        <v>567.62071393425606</v>
      </c>
      <c r="K329" s="307">
        <f t="shared" ca="1" si="160"/>
        <v>1405.9910385626465</v>
      </c>
      <c r="L329" s="304">
        <f t="shared" ca="1" si="145"/>
        <v>1516.246706642987</v>
      </c>
      <c r="M329" s="306">
        <f t="shared" ca="1" si="161"/>
        <v>-0.82753977122871247</v>
      </c>
      <c r="N329" s="304">
        <f t="shared" ca="1" si="162"/>
        <v>-47.414536270626897</v>
      </c>
      <c r="P329" s="310">
        <f t="shared" ca="1" si="163"/>
        <v>23</v>
      </c>
      <c r="Q329" s="304">
        <f t="shared" ca="1" si="164"/>
        <v>0</v>
      </c>
      <c r="R329" s="306">
        <f t="shared" ca="1" si="165"/>
        <v>0</v>
      </c>
      <c r="S329" s="307">
        <f t="shared" ca="1" si="166"/>
        <v>2.9792999999999985</v>
      </c>
      <c r="T329" s="304">
        <f t="shared" ca="1" si="146"/>
        <v>29.226932999999988</v>
      </c>
      <c r="U329" s="311">
        <f t="shared" ca="1" si="147"/>
        <v>0</v>
      </c>
      <c r="V329" s="306">
        <f t="shared" ca="1" si="148"/>
        <v>1.0640787869492734</v>
      </c>
      <c r="W329" s="304">
        <f t="shared" ca="1" si="149"/>
        <v>2.5305493958784595</v>
      </c>
      <c r="Y329" s="314" t="str">
        <f t="shared" ca="1" si="167"/>
        <v/>
      </c>
      <c r="Z329" s="315" t="str">
        <f t="shared" ca="1" si="168"/>
        <v/>
      </c>
      <c r="AA329" s="316" t="str">
        <f t="shared" ca="1" si="169"/>
        <v/>
      </c>
      <c r="AC329" s="310" t="e">
        <f t="shared" ca="1" si="170"/>
        <v>#N/A</v>
      </c>
      <c r="AD329" s="323" t="e">
        <f t="shared" ca="1" si="171"/>
        <v>#N/A</v>
      </c>
      <c r="AE329" s="324" t="e">
        <f t="shared" ca="1" si="150"/>
        <v>#N/A</v>
      </c>
      <c r="AG329" s="306">
        <f t="shared" ca="1" si="172"/>
        <v>6.2714123959697341</v>
      </c>
      <c r="AH329" s="304">
        <f t="shared" ca="1" si="173"/>
        <v>-0.81787062136408439</v>
      </c>
    </row>
    <row r="330" spans="1:34" x14ac:dyDescent="0.2">
      <c r="A330" s="347">
        <f t="shared" ca="1" si="151"/>
        <v>0.1</v>
      </c>
      <c r="B330" s="304">
        <f t="shared" ca="1" si="152"/>
        <v>19.199999999999967</v>
      </c>
      <c r="D330" s="306">
        <f t="shared" ca="1" si="153"/>
        <v>-0.57476435258636882</v>
      </c>
      <c r="E330" s="307">
        <f t="shared" ca="1" si="154"/>
        <v>-9.1846300997877428</v>
      </c>
      <c r="F330" s="304">
        <f t="shared" ca="1" si="155"/>
        <v>9.2025965972072807</v>
      </c>
      <c r="G330" s="306">
        <f t="shared" ca="1" si="156"/>
        <v>23.003268094295919</v>
      </c>
      <c r="H330" s="307">
        <f t="shared" ca="1" si="157"/>
        <v>-26.009607651035481</v>
      </c>
      <c r="I330" s="304">
        <f t="shared" ca="1" si="158"/>
        <v>34.722471587991201</v>
      </c>
      <c r="J330" s="306">
        <f t="shared" ca="1" si="159"/>
        <v>569.92391456544863</v>
      </c>
      <c r="K330" s="307">
        <f t="shared" ca="1" si="160"/>
        <v>1403.436000948042</v>
      </c>
      <c r="L330" s="304">
        <f t="shared" ca="1" si="145"/>
        <v>1514.7428419209107</v>
      </c>
      <c r="M330" s="306">
        <f t="shared" ca="1" si="161"/>
        <v>-0.84665916326947654</v>
      </c>
      <c r="N330" s="304">
        <f t="shared" ca="1" si="162"/>
        <v>-48.509996741418696</v>
      </c>
      <c r="P330" s="310">
        <f t="shared" ca="1" si="163"/>
        <v>23</v>
      </c>
      <c r="Q330" s="304">
        <f t="shared" ca="1" si="164"/>
        <v>0</v>
      </c>
      <c r="R330" s="306">
        <f t="shared" ca="1" si="165"/>
        <v>0</v>
      </c>
      <c r="S330" s="307">
        <f t="shared" ca="1" si="166"/>
        <v>2.9792999999999985</v>
      </c>
      <c r="T330" s="304">
        <f t="shared" ca="1" si="146"/>
        <v>29.226932999999988</v>
      </c>
      <c r="U330" s="311">
        <f t="shared" ca="1" si="147"/>
        <v>0</v>
      </c>
      <c r="V330" s="306">
        <f t="shared" ca="1" si="148"/>
        <v>1.0643520459906346</v>
      </c>
      <c r="W330" s="304">
        <f t="shared" ca="1" si="149"/>
        <v>2.627722085214069</v>
      </c>
      <c r="Y330" s="314" t="str">
        <f t="shared" ca="1" si="167"/>
        <v/>
      </c>
      <c r="Z330" s="315" t="str">
        <f t="shared" ca="1" si="168"/>
        <v/>
      </c>
      <c r="AA330" s="316" t="str">
        <f t="shared" ca="1" si="169"/>
        <v/>
      </c>
      <c r="AC330" s="310" t="e">
        <f t="shared" ca="1" si="170"/>
        <v>#N/A</v>
      </c>
      <c r="AD330" s="323" t="e">
        <f t="shared" ca="1" si="171"/>
        <v>#N/A</v>
      </c>
      <c r="AE330" s="324" t="e">
        <f t="shared" ca="1" si="150"/>
        <v>#N/A</v>
      </c>
      <c r="AG330" s="306">
        <f t="shared" ca="1" si="172"/>
        <v>6.373419669762292</v>
      </c>
      <c r="AH330" s="304">
        <f t="shared" ca="1" si="173"/>
        <v>-0.84937716775029726</v>
      </c>
    </row>
    <row r="331" spans="1:34" x14ac:dyDescent="0.2">
      <c r="A331" s="347">
        <f t="shared" ca="1" si="151"/>
        <v>0.1</v>
      </c>
      <c r="B331" s="304">
        <f t="shared" ca="1" si="152"/>
        <v>19.299999999999969</v>
      </c>
      <c r="D331" s="306">
        <f t="shared" ca="1" si="153"/>
        <v>-0.58431105667272698</v>
      </c>
      <c r="E331" s="307">
        <f t="shared" ca="1" si="154"/>
        <v>-9.1493242530617582</v>
      </c>
      <c r="F331" s="304">
        <f t="shared" ca="1" si="155"/>
        <v>9.1679634433506614</v>
      </c>
      <c r="G331" s="306">
        <f t="shared" ca="1" si="156"/>
        <v>22.944836988628648</v>
      </c>
      <c r="H331" s="307">
        <f t="shared" ca="1" si="157"/>
        <v>-26.924540076341657</v>
      </c>
      <c r="I331" s="304">
        <f t="shared" ca="1" si="158"/>
        <v>35.375081664319438</v>
      </c>
      <c r="J331" s="306">
        <f t="shared" ca="1" si="159"/>
        <v>572.2213198195949</v>
      </c>
      <c r="K331" s="307">
        <f t="shared" ca="1" si="160"/>
        <v>1400.789293561673</v>
      </c>
      <c r="L331" s="304">
        <f t="shared" ca="1" si="145"/>
        <v>1513.1582481066182</v>
      </c>
      <c r="M331" s="306">
        <f t="shared" ca="1" si="161"/>
        <v>-0.86503194432448549</v>
      </c>
      <c r="N331" s="304">
        <f t="shared" ca="1" si="162"/>
        <v>-49.562679553788627</v>
      </c>
      <c r="P331" s="310">
        <f t="shared" ca="1" si="163"/>
        <v>23</v>
      </c>
      <c r="Q331" s="304">
        <f t="shared" ca="1" si="164"/>
        <v>0</v>
      </c>
      <c r="R331" s="306">
        <f t="shared" ca="1" si="165"/>
        <v>0</v>
      </c>
      <c r="S331" s="307">
        <f t="shared" ca="1" si="166"/>
        <v>2.9792999999999985</v>
      </c>
      <c r="T331" s="304">
        <f t="shared" ca="1" si="146"/>
        <v>29.226932999999988</v>
      </c>
      <c r="U331" s="311">
        <f t="shared" ca="1" si="147"/>
        <v>0</v>
      </c>
      <c r="V331" s="306">
        <f t="shared" ca="1" si="148"/>
        <v>1.0646351778362408</v>
      </c>
      <c r="W331" s="304">
        <f t="shared" ca="1" si="149"/>
        <v>2.7281521269718692</v>
      </c>
      <c r="Y331" s="314" t="str">
        <f t="shared" ca="1" si="167"/>
        <v/>
      </c>
      <c r="Z331" s="315" t="str">
        <f t="shared" ca="1" si="168"/>
        <v/>
      </c>
      <c r="AA331" s="316" t="str">
        <f t="shared" ca="1" si="169"/>
        <v/>
      </c>
      <c r="AC331" s="310" t="e">
        <f t="shared" ca="1" si="170"/>
        <v>#N/A</v>
      </c>
      <c r="AD331" s="323" t="e">
        <f t="shared" ca="1" si="171"/>
        <v>#N/A</v>
      </c>
      <c r="AE331" s="324" t="e">
        <f t="shared" ca="1" si="150"/>
        <v>#N/A</v>
      </c>
      <c r="AG331" s="306">
        <f t="shared" ca="1" si="172"/>
        <v>6.4663965420246523</v>
      </c>
      <c r="AH331" s="304">
        <f t="shared" ca="1" si="173"/>
        <v>-0.88199311422618409</v>
      </c>
    </row>
    <row r="332" spans="1:34" x14ac:dyDescent="0.2">
      <c r="A332" s="347">
        <f t="shared" ca="1" si="151"/>
        <v>0.1</v>
      </c>
      <c r="B332" s="304">
        <f t="shared" ca="1" si="152"/>
        <v>19.39999999999997</v>
      </c>
      <c r="D332" s="306">
        <f t="shared" ca="1" si="153"/>
        <v>-0.5939390399333041</v>
      </c>
      <c r="E332" s="307">
        <f t="shared" ca="1" si="154"/>
        <v>-9.1130442756462617</v>
      </c>
      <c r="F332" s="304">
        <f t="shared" ca="1" si="155"/>
        <v>9.132378636097279</v>
      </c>
      <c r="G332" s="306">
        <f t="shared" ca="1" si="156"/>
        <v>22.885443084635316</v>
      </c>
      <c r="H332" s="307">
        <f t="shared" ca="1" si="157"/>
        <v>-27.835844503906284</v>
      </c>
      <c r="I332" s="304">
        <f t="shared" ca="1" si="158"/>
        <v>36.035784221045226</v>
      </c>
      <c r="J332" s="306">
        <f t="shared" ca="1" si="159"/>
        <v>574.51283382325812</v>
      </c>
      <c r="K332" s="307">
        <f t="shared" ca="1" si="160"/>
        <v>1398.0512743326606</v>
      </c>
      <c r="L332" s="304">
        <f t="shared" ca="1" si="145"/>
        <v>1511.4934210544243</v>
      </c>
      <c r="M332" s="306">
        <f t="shared" ca="1" si="161"/>
        <v>-0.88269009120388819</v>
      </c>
      <c r="N332" s="304">
        <f t="shared" ca="1" si="162"/>
        <v>-50.574416844000503</v>
      </c>
      <c r="P332" s="310">
        <f t="shared" ca="1" si="163"/>
        <v>23</v>
      </c>
      <c r="Q332" s="304">
        <f t="shared" ca="1" si="164"/>
        <v>0</v>
      </c>
      <c r="R332" s="306">
        <f t="shared" ca="1" si="165"/>
        <v>0</v>
      </c>
      <c r="S332" s="307">
        <f t="shared" ca="1" si="166"/>
        <v>2.9792999999999985</v>
      </c>
      <c r="T332" s="304">
        <f t="shared" ca="1" si="146"/>
        <v>29.226932999999988</v>
      </c>
      <c r="U332" s="311">
        <f t="shared" ca="1" si="147"/>
        <v>0</v>
      </c>
      <c r="V332" s="306">
        <f t="shared" ca="1" si="148"/>
        <v>1.0649281514843534</v>
      </c>
      <c r="W332" s="304">
        <f t="shared" ca="1" si="149"/>
        <v>2.8317905798264635</v>
      </c>
      <c r="Y332" s="314" t="str">
        <f t="shared" ca="1" si="167"/>
        <v/>
      </c>
      <c r="Z332" s="315" t="str">
        <f t="shared" ca="1" si="168"/>
        <v/>
      </c>
      <c r="AA332" s="316" t="str">
        <f t="shared" ca="1" si="169"/>
        <v/>
      </c>
      <c r="AC332" s="310" t="e">
        <f t="shared" ca="1" si="170"/>
        <v>#N/A</v>
      </c>
      <c r="AD332" s="323" t="e">
        <f t="shared" ca="1" si="171"/>
        <v>#N/A</v>
      </c>
      <c r="AE332" s="324" t="e">
        <f t="shared" ca="1" si="150"/>
        <v>#N/A</v>
      </c>
      <c r="AG332" s="306">
        <f t="shared" ca="1" si="172"/>
        <v>6.5508454104404032</v>
      </c>
      <c r="AH332" s="304">
        <f t="shared" ca="1" si="173"/>
        <v>-0.91570238880672328</v>
      </c>
    </row>
    <row r="333" spans="1:34" x14ac:dyDescent="0.2">
      <c r="A333" s="347">
        <f t="shared" ca="1" si="151"/>
        <v>0.1</v>
      </c>
      <c r="B333" s="304">
        <f t="shared" ca="1" si="152"/>
        <v>19.499999999999972</v>
      </c>
      <c r="D333" s="306">
        <f t="shared" ca="1" si="153"/>
        <v>-0.60363198450318534</v>
      </c>
      <c r="E333" s="307">
        <f t="shared" ca="1" si="154"/>
        <v>-9.0757950297892265</v>
      </c>
      <c r="F333" s="304">
        <f t="shared" ca="1" si="155"/>
        <v>9.0958466893116707</v>
      </c>
      <c r="G333" s="306">
        <f t="shared" ca="1" si="156"/>
        <v>22.825079886184998</v>
      </c>
      <c r="H333" s="307">
        <f t="shared" ca="1" si="157"/>
        <v>-28.743424006885206</v>
      </c>
      <c r="I333" s="304">
        <f t="shared" ca="1" si="158"/>
        <v>36.703796744346647</v>
      </c>
      <c r="J333" s="306">
        <f t="shared" ca="1" si="159"/>
        <v>576.79835997179919</v>
      </c>
      <c r="K333" s="307">
        <f t="shared" ca="1" si="160"/>
        <v>1395.222310907121</v>
      </c>
      <c r="L333" s="304">
        <f t="shared" ca="1" si="145"/>
        <v>1509.7488681629022</v>
      </c>
      <c r="M333" s="306">
        <f t="shared" ca="1" si="161"/>
        <v>-0.89966487378263682</v>
      </c>
      <c r="N333" s="304">
        <f t="shared" ca="1" si="162"/>
        <v>-51.547000243914994</v>
      </c>
      <c r="P333" s="310">
        <f t="shared" ca="1" si="163"/>
        <v>23</v>
      </c>
      <c r="Q333" s="304">
        <f t="shared" ca="1" si="164"/>
        <v>0</v>
      </c>
      <c r="R333" s="306">
        <f t="shared" ca="1" si="165"/>
        <v>0</v>
      </c>
      <c r="S333" s="307">
        <f t="shared" ca="1" si="166"/>
        <v>2.9792999999999985</v>
      </c>
      <c r="T333" s="304">
        <f t="shared" ca="1" si="146"/>
        <v>29.226932999999988</v>
      </c>
      <c r="U333" s="311">
        <f t="shared" ca="1" si="147"/>
        <v>0</v>
      </c>
      <c r="V333" s="306">
        <f t="shared" ca="1" si="148"/>
        <v>1.0652309351102267</v>
      </c>
      <c r="W333" s="304">
        <f t="shared" ca="1" si="149"/>
        <v>2.9385874673351986</v>
      </c>
      <c r="Y333" s="314" t="str">
        <f t="shared" ca="1" si="167"/>
        <v/>
      </c>
      <c r="Z333" s="315" t="str">
        <f t="shared" ca="1" si="168"/>
        <v/>
      </c>
      <c r="AA333" s="316" t="str">
        <f t="shared" ca="1" si="169"/>
        <v/>
      </c>
      <c r="AC333" s="310" t="e">
        <f t="shared" ca="1" si="170"/>
        <v>#N/A</v>
      </c>
      <c r="AD333" s="323" t="e">
        <f t="shared" ca="1" si="171"/>
        <v>#N/A</v>
      </c>
      <c r="AE333" s="324" t="e">
        <f t="shared" ca="1" si="150"/>
        <v>#N/A</v>
      </c>
      <c r="AG333" s="306">
        <f t="shared" ca="1" si="172"/>
        <v>6.6272467475164136</v>
      </c>
      <c r="AH333" s="304">
        <f t="shared" ca="1" si="173"/>
        <v>-0.9504885643696388</v>
      </c>
    </row>
    <row r="334" spans="1:34" x14ac:dyDescent="0.2">
      <c r="A334" s="347">
        <f t="shared" ca="1" si="151"/>
        <v>0.1</v>
      </c>
      <c r="B334" s="304">
        <f t="shared" ca="1" si="152"/>
        <v>19.599999999999973</v>
      </c>
      <c r="D334" s="306">
        <f t="shared" ca="1" si="153"/>
        <v>-0.61337447664944422</v>
      </c>
      <c r="E334" s="307">
        <f t="shared" ca="1" si="154"/>
        <v>-9.0375828717687323</v>
      </c>
      <c r="F334" s="304">
        <f t="shared" ca="1" si="155"/>
        <v>9.058373607480128</v>
      </c>
      <c r="G334" s="306">
        <f t="shared" ca="1" si="156"/>
        <v>22.763742438520055</v>
      </c>
      <c r="H334" s="307">
        <f t="shared" ca="1" si="157"/>
        <v>-29.64718229406208</v>
      </c>
      <c r="I334" s="304">
        <f t="shared" ca="1" si="158"/>
        <v>37.378381288983434</v>
      </c>
      <c r="J334" s="306">
        <f t="shared" ca="1" si="159"/>
        <v>579.07780108803445</v>
      </c>
      <c r="K334" s="307">
        <f t="shared" ca="1" si="160"/>
        <v>1392.3027805920738</v>
      </c>
      <c r="L334" s="304">
        <f t="shared" ca="1" si="145"/>
        <v>1507.9251084047157</v>
      </c>
      <c r="M334" s="306">
        <f t="shared" ca="1" si="161"/>
        <v>-0.91598671375627694</v>
      </c>
      <c r="N334" s="304">
        <f t="shared" ca="1" si="162"/>
        <v>-52.482172788292495</v>
      </c>
      <c r="P334" s="310">
        <f t="shared" ca="1" si="163"/>
        <v>23</v>
      </c>
      <c r="Q334" s="304">
        <f t="shared" ca="1" si="164"/>
        <v>0</v>
      </c>
      <c r="R334" s="306">
        <f t="shared" ca="1" si="165"/>
        <v>0</v>
      </c>
      <c r="S334" s="307">
        <f t="shared" ca="1" si="166"/>
        <v>2.9792999999999985</v>
      </c>
      <c r="T334" s="304">
        <f t="shared" ca="1" si="146"/>
        <v>29.226932999999988</v>
      </c>
      <c r="U334" s="311">
        <f t="shared" ca="1" si="147"/>
        <v>0</v>
      </c>
      <c r="V334" s="306">
        <f t="shared" ca="1" si="148"/>
        <v>1.0655434960678802</v>
      </c>
      <c r="W334" s="304">
        <f t="shared" ca="1" si="149"/>
        <v>3.0484918036783841</v>
      </c>
      <c r="Y334" s="314" t="str">
        <f t="shared" ca="1" si="167"/>
        <v/>
      </c>
      <c r="Z334" s="315" t="str">
        <f t="shared" ca="1" si="168"/>
        <v/>
      </c>
      <c r="AA334" s="316" t="str">
        <f t="shared" ca="1" si="169"/>
        <v/>
      </c>
      <c r="AC334" s="310" t="e">
        <f t="shared" ca="1" si="170"/>
        <v>#N/A</v>
      </c>
      <c r="AD334" s="323" t="e">
        <f t="shared" ca="1" si="171"/>
        <v>#N/A</v>
      </c>
      <c r="AE334" s="324" t="e">
        <f t="shared" ca="1" si="150"/>
        <v>#N/A</v>
      </c>
      <c r="AG334" s="306">
        <f t="shared" ca="1" si="172"/>
        <v>6.6960580880177369</v>
      </c>
      <c r="AH334" s="304">
        <f t="shared" ca="1" si="173"/>
        <v>-0.98633486635625822</v>
      </c>
    </row>
    <row r="335" spans="1:34" x14ac:dyDescent="0.2">
      <c r="A335" s="347">
        <f t="shared" ca="1" si="151"/>
        <v>0.1</v>
      </c>
      <c r="B335" s="304">
        <f t="shared" ca="1" si="152"/>
        <v>19.699999999999974</v>
      </c>
      <c r="D335" s="306">
        <f t="shared" ca="1" si="153"/>
        <v>-0.62315196429801123</v>
      </c>
      <c r="E335" s="307">
        <f t="shared" ca="1" si="154"/>
        <v>-8.9984155282312575</v>
      </c>
      <c r="F335" s="304">
        <f t="shared" ca="1" si="155"/>
        <v>9.0199667620962938</v>
      </c>
      <c r="G335" s="306">
        <f t="shared" ca="1" si="156"/>
        <v>22.701427242090254</v>
      </c>
      <c r="H335" s="307">
        <f t="shared" ca="1" si="157"/>
        <v>-30.547023846885207</v>
      </c>
      <c r="I335" s="304">
        <f t="shared" ca="1" si="158"/>
        <v>38.058842135962188</v>
      </c>
      <c r="J335" s="306">
        <f t="shared" ca="1" si="159"/>
        <v>581.35105957206497</v>
      </c>
      <c r="K335" s="307">
        <f t="shared" ca="1" si="160"/>
        <v>1389.2930702850265</v>
      </c>
      <c r="L335" s="304">
        <f t="shared" ca="1" si="145"/>
        <v>1506.0226723418073</v>
      </c>
      <c r="M335" s="306">
        <f t="shared" ca="1" si="161"/>
        <v>-0.93168507963926128</v>
      </c>
      <c r="N335" s="304">
        <f t="shared" ca="1" si="162"/>
        <v>-53.381622898639662</v>
      </c>
      <c r="P335" s="310">
        <f t="shared" ca="1" si="163"/>
        <v>23</v>
      </c>
      <c r="Q335" s="304">
        <f t="shared" ca="1" si="164"/>
        <v>0</v>
      </c>
      <c r="R335" s="306">
        <f t="shared" ca="1" si="165"/>
        <v>0</v>
      </c>
      <c r="S335" s="307">
        <f t="shared" ca="1" si="166"/>
        <v>2.9792999999999985</v>
      </c>
      <c r="T335" s="304">
        <f t="shared" ca="1" si="146"/>
        <v>29.226932999999988</v>
      </c>
      <c r="U335" s="311">
        <f t="shared" ca="1" si="147"/>
        <v>0</v>
      </c>
      <c r="V335" s="306">
        <f t="shared" ca="1" si="148"/>
        <v>1.0658658008932991</v>
      </c>
      <c r="W335" s="304">
        <f t="shared" ca="1" si="149"/>
        <v>3.1614516219353748</v>
      </c>
      <c r="Y335" s="314" t="str">
        <f t="shared" ca="1" si="167"/>
        <v/>
      </c>
      <c r="Z335" s="315" t="str">
        <f t="shared" ca="1" si="168"/>
        <v/>
      </c>
      <c r="AA335" s="316" t="str">
        <f t="shared" ca="1" si="169"/>
        <v/>
      </c>
      <c r="AC335" s="310" t="e">
        <f t="shared" ca="1" si="170"/>
        <v>#N/A</v>
      </c>
      <c r="AD335" s="323" t="e">
        <f t="shared" ca="1" si="171"/>
        <v>#N/A</v>
      </c>
      <c r="AE335" s="324" t="e">
        <f t="shared" ca="1" si="150"/>
        <v>#N/A</v>
      </c>
      <c r="AG335" s="306">
        <f t="shared" ca="1" si="172"/>
        <v>6.7577135765988903</v>
      </c>
      <c r="AH335" s="304">
        <f t="shared" ca="1" si="173"/>
        <v>-1.0232241814111991</v>
      </c>
    </row>
    <row r="336" spans="1:34" x14ac:dyDescent="0.2">
      <c r="A336" s="347">
        <f t="shared" ca="1" si="151"/>
        <v>0.1</v>
      </c>
      <c r="B336" s="304">
        <f t="shared" ca="1" si="152"/>
        <v>19.799999999999976</v>
      </c>
      <c r="D336" s="306">
        <f t="shared" ca="1" si="153"/>
        <v>-0.63295071443068396</v>
      </c>
      <c r="E336" s="307">
        <f t="shared" ca="1" si="154"/>
        <v>-8.9583019828916779</v>
      </c>
      <c r="F336" s="304">
        <f t="shared" ca="1" si="155"/>
        <v>8.9806347784318277</v>
      </c>
      <c r="G336" s="306">
        <f t="shared" ca="1" si="156"/>
        <v>22.638132170647186</v>
      </c>
      <c r="H336" s="307">
        <f t="shared" ca="1" si="157"/>
        <v>-31.442854045174375</v>
      </c>
      <c r="I336" s="304">
        <f t="shared" ca="1" si="158"/>
        <v>38.744523466960196</v>
      </c>
      <c r="J336" s="306">
        <f t="shared" ca="1" si="159"/>
        <v>583.61803754270181</v>
      </c>
      <c r="K336" s="307">
        <f t="shared" ca="1" si="160"/>
        <v>1386.1935763904235</v>
      </c>
      <c r="L336" s="304">
        <f t="shared" ca="1" si="145"/>
        <v>1504.0421021272202</v>
      </c>
      <c r="M336" s="306">
        <f t="shared" ca="1" si="161"/>
        <v>-0.94678841221195231</v>
      </c>
      <c r="N336" s="304">
        <f t="shared" ca="1" si="162"/>
        <v>-54.24698011163732</v>
      </c>
      <c r="P336" s="310">
        <f t="shared" ca="1" si="163"/>
        <v>23</v>
      </c>
      <c r="Q336" s="304">
        <f t="shared" ca="1" si="164"/>
        <v>0</v>
      </c>
      <c r="R336" s="306">
        <f t="shared" ca="1" si="165"/>
        <v>0</v>
      </c>
      <c r="S336" s="307">
        <f t="shared" ca="1" si="166"/>
        <v>2.9792999999999985</v>
      </c>
      <c r="T336" s="304">
        <f t="shared" ca="1" si="146"/>
        <v>29.226932999999988</v>
      </c>
      <c r="U336" s="311">
        <f t="shared" ca="1" si="147"/>
        <v>0</v>
      </c>
      <c r="V336" s="306">
        <f t="shared" ca="1" si="148"/>
        <v>1.0661978153089484</v>
      </c>
      <c r="W336" s="304">
        <f t="shared" ca="1" si="149"/>
        <v>3.2774140046537839</v>
      </c>
      <c r="Y336" s="314" t="str">
        <f t="shared" ca="1" si="167"/>
        <v/>
      </c>
      <c r="Z336" s="315" t="str">
        <f t="shared" ca="1" si="168"/>
        <v/>
      </c>
      <c r="AA336" s="316" t="str">
        <f t="shared" ca="1" si="169"/>
        <v/>
      </c>
      <c r="AC336" s="310" t="e">
        <f t="shared" ca="1" si="170"/>
        <v>#N/A</v>
      </c>
      <c r="AD336" s="323" t="e">
        <f t="shared" ca="1" si="171"/>
        <v>#N/A</v>
      </c>
      <c r="AE336" s="324" t="e">
        <f t="shared" ca="1" si="150"/>
        <v>#N/A</v>
      </c>
      <c r="AG336" s="306">
        <f t="shared" ca="1" si="172"/>
        <v>6.812623956904801</v>
      </c>
      <c r="AH336" s="304">
        <f t="shared" ca="1" si="173"/>
        <v>-1.0611390668732172</v>
      </c>
    </row>
    <row r="337" spans="1:34" x14ac:dyDescent="0.2">
      <c r="A337" s="347">
        <f t="shared" ca="1" si="151"/>
        <v>0.1</v>
      </c>
      <c r="B337" s="304">
        <f t="shared" ca="1" si="152"/>
        <v>19.899999999999977</v>
      </c>
      <c r="D337" s="306">
        <f t="shared" ca="1" si="153"/>
        <v>-0.64275777100313569</v>
      </c>
      <c r="E337" s="307">
        <f t="shared" ca="1" si="154"/>
        <v>-8.9172523727793305</v>
      </c>
      <c r="F337" s="304">
        <f t="shared" ca="1" si="155"/>
        <v>8.9403874318747238</v>
      </c>
      <c r="G337" s="306">
        <f t="shared" ca="1" si="156"/>
        <v>22.573856393546873</v>
      </c>
      <c r="H337" s="307">
        <f t="shared" ca="1" si="157"/>
        <v>-32.33457928245231</v>
      </c>
      <c r="I337" s="304">
        <f t="shared" ca="1" si="158"/>
        <v>39.434807085234631</v>
      </c>
      <c r="J337" s="306">
        <f t="shared" ca="1" si="159"/>
        <v>585.87863697091154</v>
      </c>
      <c r="K337" s="307">
        <f t="shared" ca="1" si="160"/>
        <v>1383.0047047240421</v>
      </c>
      <c r="L337" s="304">
        <f t="shared" ca="1" si="145"/>
        <v>1501.9839514947316</v>
      </c>
      <c r="M337" s="306">
        <f t="shared" ca="1" si="161"/>
        <v>-0.96132407528312902</v>
      </c>
      <c r="N337" s="304">
        <f t="shared" ca="1" si="162"/>
        <v>-55.079812258039915</v>
      </c>
      <c r="P337" s="310">
        <f t="shared" ca="1" si="163"/>
        <v>23</v>
      </c>
      <c r="Q337" s="304">
        <f t="shared" ca="1" si="164"/>
        <v>0</v>
      </c>
      <c r="R337" s="306">
        <f t="shared" ca="1" si="165"/>
        <v>0</v>
      </c>
      <c r="S337" s="307">
        <f t="shared" ca="1" si="166"/>
        <v>2.9792999999999985</v>
      </c>
      <c r="T337" s="304">
        <f t="shared" ca="1" si="146"/>
        <v>29.226932999999988</v>
      </c>
      <c r="U337" s="311">
        <f t="shared" ca="1" si="147"/>
        <v>0</v>
      </c>
      <c r="V337" s="306">
        <f t="shared" ca="1" si="148"/>
        <v>1.0665395042294816</v>
      </c>
      <c r="W337" s="304">
        <f t="shared" ca="1" si="149"/>
        <v>3.3963251164860937</v>
      </c>
      <c r="Y337" s="314" t="str">
        <f t="shared" ca="1" si="167"/>
        <v/>
      </c>
      <c r="Z337" s="315" t="str">
        <f t="shared" ca="1" si="168"/>
        <v/>
      </c>
      <c r="AA337" s="316" t="str">
        <f t="shared" ca="1" si="169"/>
        <v/>
      </c>
      <c r="AC337" s="310" t="e">
        <f t="shared" ca="1" si="170"/>
        <v>#N/A</v>
      </c>
      <c r="AD337" s="323" t="e">
        <f t="shared" ca="1" si="171"/>
        <v>#N/A</v>
      </c>
      <c r="AE337" s="324" t="e">
        <f t="shared" ca="1" si="150"/>
        <v>#N/A</v>
      </c>
      <c r="AG337" s="306">
        <f t="shared" ca="1" si="172"/>
        <v>6.8611769014089887</v>
      </c>
      <c r="AH337" s="304">
        <f t="shared" ca="1" si="173"/>
        <v>-1.1000617610357417</v>
      </c>
    </row>
    <row r="338" spans="1:34" x14ac:dyDescent="0.2">
      <c r="A338" s="347">
        <f t="shared" ca="1" si="151"/>
        <v>0.1</v>
      </c>
      <c r="B338" s="304">
        <f t="shared" ca="1" si="152"/>
        <v>19.999999999999979</v>
      </c>
      <c r="D338" s="306">
        <f t="shared" ca="1" si="153"/>
        <v>-0.65256091387418202</v>
      </c>
      <c r="E338" s="307">
        <f t="shared" ca="1" si="154"/>
        <v>-8.8752778932213747</v>
      </c>
      <c r="F338" s="304">
        <f t="shared" ca="1" si="155"/>
        <v>8.8992355530247842</v>
      </c>
      <c r="G338" s="306">
        <f t="shared" ca="1" si="156"/>
        <v>22.508600302159454</v>
      </c>
      <c r="H338" s="307">
        <f t="shared" ca="1" si="157"/>
        <v>-33.222107071774445</v>
      </c>
      <c r="I338" s="304">
        <f t="shared" ca="1" si="158"/>
        <v>40.12911020507206</v>
      </c>
      <c r="J338" s="306">
        <f t="shared" ca="1" si="159"/>
        <v>588.13275980569688</v>
      </c>
      <c r="K338" s="307">
        <f t="shared" ca="1" si="160"/>
        <v>1379.7268704063308</v>
      </c>
      <c r="L338" s="304">
        <f t="shared" ca="1" si="145"/>
        <v>1499.8487857373868</v>
      </c>
      <c r="M338" s="306">
        <f t="shared" ca="1" si="161"/>
        <v>-0.97531832727729195</v>
      </c>
      <c r="N338" s="304">
        <f t="shared" ca="1" si="162"/>
        <v>-55.881623834747984</v>
      </c>
      <c r="P338" s="310">
        <f t="shared" ca="1" si="163"/>
        <v>23</v>
      </c>
      <c r="Q338" s="304">
        <f t="shared" ca="1" si="164"/>
        <v>0</v>
      </c>
      <c r="R338" s="306">
        <f t="shared" ca="1" si="165"/>
        <v>0</v>
      </c>
      <c r="S338" s="307">
        <f t="shared" ca="1" si="166"/>
        <v>2.9792999999999985</v>
      </c>
      <c r="T338" s="304">
        <f t="shared" ca="1" si="146"/>
        <v>29.226932999999988</v>
      </c>
      <c r="U338" s="311">
        <f t="shared" ca="1" si="147"/>
        <v>0</v>
      </c>
      <c r="V338" s="306">
        <f t="shared" ca="1" si="148"/>
        <v>1.0668908317685508</v>
      </c>
      <c r="W338" s="304">
        <f t="shared" ca="1" si="149"/>
        <v>3.5181302386837063</v>
      </c>
      <c r="Y338" s="314" t="str">
        <f t="shared" ca="1" si="167"/>
        <v/>
      </c>
      <c r="Z338" s="315" t="str">
        <f t="shared" ca="1" si="168"/>
        <v/>
      </c>
      <c r="AA338" s="316" t="str">
        <f t="shared" ca="1" si="169"/>
        <v/>
      </c>
      <c r="AC338" s="310">
        <f t="shared" ca="1" si="170"/>
        <v>19.999999999999979</v>
      </c>
      <c r="AD338" s="323">
        <f t="shared" ca="1" si="171"/>
        <v>588.13275980569688</v>
      </c>
      <c r="AE338" s="324" t="e">
        <f t="shared" ca="1" si="150"/>
        <v>#N/A</v>
      </c>
      <c r="AG338" s="306">
        <f t="shared" ca="1" si="172"/>
        <v>6.9037375977493145</v>
      </c>
      <c r="AH338" s="304">
        <f t="shared" ca="1" si="173"/>
        <v>-1.1399741941013311</v>
      </c>
    </row>
    <row r="339" spans="1:34" x14ac:dyDescent="0.2">
      <c r="A339" s="347">
        <f t="shared" ca="1" si="151"/>
        <v>0.1</v>
      </c>
      <c r="B339" s="304">
        <f t="shared" ca="1" si="152"/>
        <v>20.09999999999998</v>
      </c>
      <c r="D339" s="306">
        <f t="shared" ca="1" si="153"/>
        <v>-0.66234861910385334</v>
      </c>
      <c r="E339" s="307">
        <f t="shared" ca="1" si="154"/>
        <v>-8.8323907107809347</v>
      </c>
      <c r="F339" s="304">
        <f t="shared" ca="1" si="155"/>
        <v>8.857190940762095</v>
      </c>
      <c r="G339" s="306">
        <f t="shared" ca="1" si="156"/>
        <v>22.44236544024907</v>
      </c>
      <c r="H339" s="307">
        <f t="shared" ca="1" si="157"/>
        <v>-34.10534614285254</v>
      </c>
      <c r="I339" s="304">
        <f t="shared" ca="1" si="158"/>
        <v>40.826883325542646</v>
      </c>
      <c r="J339" s="306">
        <f t="shared" ca="1" si="159"/>
        <v>590.38030809281736</v>
      </c>
      <c r="K339" s="307">
        <f t="shared" ca="1" si="160"/>
        <v>1376.3604977455996</v>
      </c>
      <c r="L339" s="304">
        <f t="shared" ca="1" si="145"/>
        <v>1497.6371816759506</v>
      </c>
      <c r="M339" s="306">
        <f t="shared" ca="1" si="161"/>
        <v>-0.98879630976086808</v>
      </c>
      <c r="N339" s="304">
        <f t="shared" ca="1" si="162"/>
        <v>-56.653855347408147</v>
      </c>
      <c r="P339" s="310">
        <f t="shared" ca="1" si="163"/>
        <v>23</v>
      </c>
      <c r="Q339" s="304">
        <f t="shared" ca="1" si="164"/>
        <v>0</v>
      </c>
      <c r="R339" s="306">
        <f t="shared" ca="1" si="165"/>
        <v>0</v>
      </c>
      <c r="S339" s="307">
        <f t="shared" ca="1" si="166"/>
        <v>2.9792999999999985</v>
      </c>
      <c r="T339" s="304">
        <f t="shared" ca="1" si="146"/>
        <v>29.226932999999988</v>
      </c>
      <c r="U339" s="311">
        <f t="shared" ca="1" si="147"/>
        <v>0</v>
      </c>
      <c r="V339" s="306">
        <f t="shared" ca="1" si="148"/>
        <v>1.067251761246619</v>
      </c>
      <c r="W339" s="304">
        <f t="shared" ca="1" si="149"/>
        <v>3.642773805252935</v>
      </c>
      <c r="Y339" s="314" t="str">
        <f t="shared" ca="1" si="167"/>
        <v/>
      </c>
      <c r="Z339" s="315" t="str">
        <f t="shared" ca="1" si="168"/>
        <v/>
      </c>
      <c r="AA339" s="316" t="str">
        <f t="shared" ca="1" si="169"/>
        <v/>
      </c>
      <c r="AC339" s="310" t="e">
        <f t="shared" ca="1" si="170"/>
        <v>#N/A</v>
      </c>
      <c r="AD339" s="323" t="e">
        <f t="shared" ca="1" si="171"/>
        <v>#N/A</v>
      </c>
      <c r="AE339" s="324" t="e">
        <f t="shared" ca="1" si="150"/>
        <v>#N/A</v>
      </c>
      <c r="AG339" s="306">
        <f t="shared" ca="1" si="172"/>
        <v>6.9406495220522215</v>
      </c>
      <c r="AH339" s="304">
        <f t="shared" ca="1" si="173"/>
        <v>-1.1808579997595772</v>
      </c>
    </row>
    <row r="340" spans="1:34" x14ac:dyDescent="0.2">
      <c r="A340" s="347">
        <f t="shared" ca="1" si="151"/>
        <v>0.1</v>
      </c>
      <c r="B340" s="304">
        <f t="shared" ca="1" si="152"/>
        <v>20.199999999999982</v>
      </c>
      <c r="D340" s="306">
        <f t="shared" ca="1" si="153"/>
        <v>-0.67211002086961413</v>
      </c>
      <c r="E340" s="307">
        <f t="shared" ca="1" si="154"/>
        <v>-8.7886038834067026</v>
      </c>
      <c r="F340" s="304">
        <f t="shared" ca="1" si="155"/>
        <v>8.8142662825435849</v>
      </c>
      <c r="G340" s="306">
        <f t="shared" ca="1" si="156"/>
        <v>22.375154438162109</v>
      </c>
      <c r="H340" s="307">
        <f t="shared" ca="1" si="157"/>
        <v>-34.984206531193209</v>
      </c>
      <c r="I340" s="304">
        <f t="shared" ca="1" si="158"/>
        <v>41.527608199230386</v>
      </c>
      <c r="J340" s="306">
        <f t="shared" ca="1" si="159"/>
        <v>592.62118408673791</v>
      </c>
      <c r="K340" s="307">
        <f t="shared" ca="1" si="160"/>
        <v>1372.9060201118973</v>
      </c>
      <c r="L340" s="304">
        <f t="shared" ca="1" si="145"/>
        <v>1495.3497276182106</v>
      </c>
      <c r="M340" s="306">
        <f t="shared" ca="1" si="161"/>
        <v>-1.0017820495771406</v>
      </c>
      <c r="N340" s="304">
        <f t="shared" ca="1" si="162"/>
        <v>-57.397883432735547</v>
      </c>
      <c r="P340" s="310">
        <f t="shared" ca="1" si="163"/>
        <v>23</v>
      </c>
      <c r="Q340" s="304">
        <f t="shared" ca="1" si="164"/>
        <v>0</v>
      </c>
      <c r="R340" s="306">
        <f t="shared" ca="1" si="165"/>
        <v>0</v>
      </c>
      <c r="S340" s="307">
        <f t="shared" ca="1" si="166"/>
        <v>2.9792999999999985</v>
      </c>
      <c r="T340" s="304">
        <f t="shared" ca="1" si="146"/>
        <v>29.226932999999988</v>
      </c>
      <c r="U340" s="311">
        <f t="shared" ca="1" si="147"/>
        <v>0</v>
      </c>
      <c r="V340" s="306">
        <f t="shared" ca="1" si="148"/>
        <v>1.0676222551996915</v>
      </c>
      <c r="W340" s="304">
        <f t="shared" ca="1" si="149"/>
        <v>3.7701994405906287</v>
      </c>
      <c r="Y340" s="314" t="str">
        <f t="shared" ca="1" si="167"/>
        <v/>
      </c>
      <c r="Z340" s="315" t="str">
        <f t="shared" ca="1" si="168"/>
        <v/>
      </c>
      <c r="AA340" s="316" t="str">
        <f t="shared" ca="1" si="169"/>
        <v/>
      </c>
      <c r="AC340" s="310" t="e">
        <f t="shared" ca="1" si="170"/>
        <v>#N/A</v>
      </c>
      <c r="AD340" s="323" t="e">
        <f t="shared" ca="1" si="171"/>
        <v>#N/A</v>
      </c>
      <c r="AE340" s="324" t="e">
        <f t="shared" ca="1" si="150"/>
        <v>#N/A</v>
      </c>
      <c r="AG340" s="306">
        <f t="shared" ca="1" si="172"/>
        <v>6.9722353426254546</v>
      </c>
      <c r="AH340" s="304">
        <f t="shared" ca="1" si="173"/>
        <v>-1.2226945273228398</v>
      </c>
    </row>
    <row r="341" spans="1:34" x14ac:dyDescent="0.2">
      <c r="A341" s="347">
        <f t="shared" ca="1" si="151"/>
        <v>0.1</v>
      </c>
      <c r="B341" s="304">
        <f t="shared" ca="1" si="152"/>
        <v>20.299999999999983</v>
      </c>
      <c r="D341" s="306">
        <f t="shared" ca="1" si="153"/>
        <v>-0.68183487516300412</v>
      </c>
      <c r="E341" s="307">
        <f t="shared" ca="1" si="154"/>
        <v>-8.7439312870980928</v>
      </c>
      <c r="F341" s="304">
        <f t="shared" ca="1" si="155"/>
        <v>8.7704750812302894</v>
      </c>
      <c r="G341" s="306">
        <f t="shared" ca="1" si="156"/>
        <v>22.306970950645809</v>
      </c>
      <c r="H341" s="307">
        <f t="shared" ca="1" si="157"/>
        <v>-35.858599659903021</v>
      </c>
      <c r="I341" s="304">
        <f t="shared" ca="1" si="158"/>
        <v>42.230795902541942</v>
      </c>
      <c r="J341" s="306">
        <f t="shared" ca="1" si="159"/>
        <v>594.85529035617833</v>
      </c>
      <c r="K341" s="307">
        <f t="shared" ca="1" si="160"/>
        <v>1369.3638798023426</v>
      </c>
      <c r="L341" s="304">
        <f t="shared" ca="1" si="145"/>
        <v>1492.9870233100012</v>
      </c>
      <c r="M341" s="306">
        <f t="shared" ca="1" si="161"/>
        <v>-1.0142984717608363</v>
      </c>
      <c r="N341" s="304">
        <f t="shared" ca="1" si="162"/>
        <v>-58.115021598465233</v>
      </c>
      <c r="P341" s="310">
        <f t="shared" ca="1" si="163"/>
        <v>23</v>
      </c>
      <c r="Q341" s="304">
        <f t="shared" ca="1" si="164"/>
        <v>0</v>
      </c>
      <c r="R341" s="306">
        <f t="shared" ca="1" si="165"/>
        <v>0</v>
      </c>
      <c r="S341" s="307">
        <f t="shared" ca="1" si="166"/>
        <v>2.9792999999999985</v>
      </c>
      <c r="T341" s="304">
        <f t="shared" ca="1" si="146"/>
        <v>29.226932999999988</v>
      </c>
      <c r="U341" s="311">
        <f t="shared" ca="1" si="147"/>
        <v>0</v>
      </c>
      <c r="V341" s="306">
        <f t="shared" ca="1" si="148"/>
        <v>1.0680022753888934</v>
      </c>
      <c r="W341" s="304">
        <f t="shared" ca="1" si="149"/>
        <v>3.9003499984292751</v>
      </c>
      <c r="Y341" s="314" t="str">
        <f t="shared" ca="1" si="167"/>
        <v/>
      </c>
      <c r="Z341" s="315" t="str">
        <f t="shared" ca="1" si="168"/>
        <v/>
      </c>
      <c r="AA341" s="316" t="str">
        <f t="shared" ca="1" si="169"/>
        <v/>
      </c>
      <c r="AC341" s="310" t="e">
        <f t="shared" ca="1" si="170"/>
        <v>#N/A</v>
      </c>
      <c r="AD341" s="323" t="e">
        <f t="shared" ca="1" si="171"/>
        <v>#N/A</v>
      </c>
      <c r="AE341" s="324" t="e">
        <f t="shared" ca="1" si="150"/>
        <v>#N/A</v>
      </c>
      <c r="AG341" s="306">
        <f t="shared" ca="1" si="172"/>
        <v>6.9987979084885241</v>
      </c>
      <c r="AH341" s="304">
        <f t="shared" ca="1" si="173"/>
        <v>-1.265464854358618</v>
      </c>
    </row>
    <row r="342" spans="1:34" x14ac:dyDescent="0.2">
      <c r="A342" s="347">
        <f t="shared" ca="1" si="151"/>
        <v>0.1</v>
      </c>
      <c r="B342" s="304">
        <f t="shared" ca="1" si="152"/>
        <v>20.399999999999984</v>
      </c>
      <c r="D342" s="306">
        <f t="shared" ca="1" si="153"/>
        <v>-0.69151352535992749</v>
      </c>
      <c r="E342" s="307">
        <f t="shared" ca="1" si="154"/>
        <v>-8.6983875484415805</v>
      </c>
      <c r="F342" s="304">
        <f t="shared" ca="1" si="155"/>
        <v>8.7258315877994832</v>
      </c>
      <c r="G342" s="306">
        <f t="shared" ca="1" si="156"/>
        <v>22.237819598109816</v>
      </c>
      <c r="H342" s="307">
        <f t="shared" ca="1" si="157"/>
        <v>-36.728438414747181</v>
      </c>
      <c r="I342" s="304">
        <f t="shared" ca="1" si="158"/>
        <v>42.935985010989945</v>
      </c>
      <c r="J342" s="306">
        <f t="shared" ca="1" si="159"/>
        <v>597.08252988361608</v>
      </c>
      <c r="K342" s="307">
        <f t="shared" ca="1" si="160"/>
        <v>1365.7345278986102</v>
      </c>
      <c r="L342" s="304">
        <f t="shared" ca="1" si="145"/>
        <v>1490.5496798787549</v>
      </c>
      <c r="M342" s="306">
        <f t="shared" ca="1" si="161"/>
        <v>-1.0263674208483986</v>
      </c>
      <c r="N342" s="304">
        <f t="shared" ca="1" si="162"/>
        <v>-58.806521444340817</v>
      </c>
      <c r="P342" s="310">
        <f t="shared" ca="1" si="163"/>
        <v>23</v>
      </c>
      <c r="Q342" s="304">
        <f t="shared" ca="1" si="164"/>
        <v>0</v>
      </c>
      <c r="R342" s="306">
        <f t="shared" ca="1" si="165"/>
        <v>0</v>
      </c>
      <c r="S342" s="307">
        <f t="shared" ca="1" si="166"/>
        <v>2.9792999999999985</v>
      </c>
      <c r="T342" s="304">
        <f t="shared" ca="1" si="146"/>
        <v>29.226932999999988</v>
      </c>
      <c r="U342" s="311">
        <f t="shared" ca="1" si="147"/>
        <v>0</v>
      </c>
      <c r="V342" s="306">
        <f t="shared" ca="1" si="148"/>
        <v>1.068391782810816</v>
      </c>
      <c r="W342" s="304">
        <f t="shared" ca="1" si="149"/>
        <v>4.0331676019324192</v>
      </c>
      <c r="Y342" s="314" t="str">
        <f t="shared" ca="1" si="167"/>
        <v/>
      </c>
      <c r="Z342" s="315" t="str">
        <f t="shared" ca="1" si="168"/>
        <v/>
      </c>
      <c r="AA342" s="316" t="str">
        <f t="shared" ca="1" si="169"/>
        <v/>
      </c>
      <c r="AC342" s="310" t="e">
        <f t="shared" ca="1" si="170"/>
        <v>#N/A</v>
      </c>
      <c r="AD342" s="323" t="e">
        <f t="shared" ca="1" si="171"/>
        <v>#N/A</v>
      </c>
      <c r="AE342" s="324" t="e">
        <f t="shared" ca="1" si="150"/>
        <v>#N/A</v>
      </c>
      <c r="AG342" s="306">
        <f t="shared" ca="1" si="172"/>
        <v>7.0206212866147624</v>
      </c>
      <c r="AH342" s="304">
        <f t="shared" ca="1" si="173"/>
        <v>-1.3091497997614463</v>
      </c>
    </row>
    <row r="343" spans="1:34" x14ac:dyDescent="0.2">
      <c r="A343" s="347">
        <f t="shared" ca="1" si="151"/>
        <v>0.1</v>
      </c>
      <c r="B343" s="304">
        <f t="shared" ca="1" si="152"/>
        <v>20.499999999999986</v>
      </c>
      <c r="D343" s="306">
        <f t="shared" ca="1" si="153"/>
        <v>-0.70113686970383859</v>
      </c>
      <c r="E343" s="307">
        <f t="shared" ca="1" si="154"/>
        <v>-8.6519879824272472</v>
      </c>
      <c r="F343" s="304">
        <f t="shared" ca="1" si="155"/>
        <v>8.6803507393493966</v>
      </c>
      <c r="G343" s="306">
        <f t="shared" ca="1" si="156"/>
        <v>22.167705911139432</v>
      </c>
      <c r="H343" s="307">
        <f t="shared" ca="1" si="157"/>
        <v>-37.593637212989904</v>
      </c>
      <c r="I343" s="304">
        <f t="shared" ca="1" si="158"/>
        <v>43.64273988035886</v>
      </c>
      <c r="J343" s="306">
        <f t="shared" ca="1" si="159"/>
        <v>599.3028061590785</v>
      </c>
      <c r="K343" s="307">
        <f t="shared" ca="1" si="160"/>
        <v>1362.0184241172233</v>
      </c>
      <c r="L343" s="304">
        <f t="shared" ca="1" si="145"/>
        <v>1488.0383197703311</v>
      </c>
      <c r="M343" s="306">
        <f t="shared" ca="1" si="161"/>
        <v>-1.0380096885904704</v>
      </c>
      <c r="N343" s="304">
        <f t="shared" ca="1" si="162"/>
        <v>-59.473574249922834</v>
      </c>
      <c r="P343" s="310">
        <f t="shared" ca="1" si="163"/>
        <v>23</v>
      </c>
      <c r="Q343" s="304">
        <f t="shared" ca="1" si="164"/>
        <v>0</v>
      </c>
      <c r="R343" s="306">
        <f t="shared" ca="1" si="165"/>
        <v>0</v>
      </c>
      <c r="S343" s="307">
        <f t="shared" ca="1" si="166"/>
        <v>2.9792999999999985</v>
      </c>
      <c r="T343" s="304">
        <f t="shared" ca="1" si="146"/>
        <v>29.226932999999988</v>
      </c>
      <c r="U343" s="311">
        <f t="shared" ca="1" si="147"/>
        <v>0</v>
      </c>
      <c r="V343" s="306">
        <f t="shared" ca="1" si="148"/>
        <v>1.0687907377085741</v>
      </c>
      <c r="W343" s="304">
        <f t="shared" ca="1" si="149"/>
        <v>4.1685936847913476</v>
      </c>
      <c r="Y343" s="314" t="str">
        <f t="shared" ca="1" si="167"/>
        <v/>
      </c>
      <c r="Z343" s="315" t="str">
        <f t="shared" ca="1" si="168"/>
        <v/>
      </c>
      <c r="AA343" s="316" t="str">
        <f t="shared" ca="1" si="169"/>
        <v/>
      </c>
      <c r="AC343" s="310" t="e">
        <f t="shared" ca="1" si="170"/>
        <v>#N/A</v>
      </c>
      <c r="AD343" s="323" t="e">
        <f t="shared" ca="1" si="171"/>
        <v>#N/A</v>
      </c>
      <c r="AE343" s="324" t="e">
        <f t="shared" ca="1" si="150"/>
        <v>#N/A</v>
      </c>
      <c r="AG343" s="306">
        <f t="shared" ca="1" si="172"/>
        <v>7.0379718196358514</v>
      </c>
      <c r="AH343" s="304">
        <f t="shared" ca="1" si="173"/>
        <v>-1.3537299372108955</v>
      </c>
    </row>
    <row r="344" spans="1:34" x14ac:dyDescent="0.2">
      <c r="A344" s="347">
        <f t="shared" ca="1" si="151"/>
        <v>0.1</v>
      </c>
      <c r="B344" s="304">
        <f t="shared" ca="1" si="152"/>
        <v>20.599999999999987</v>
      </c>
      <c r="D344" s="306">
        <f t="shared" ca="1" si="153"/>
        <v>-0.71069633069961935</v>
      </c>
      <c r="E344" s="307">
        <f t="shared" ca="1" si="154"/>
        <v>-8.6047485350074595</v>
      </c>
      <c r="F344" s="304">
        <f t="shared" ca="1" si="155"/>
        <v>8.6340481018571431</v>
      </c>
      <c r="G344" s="306">
        <f t="shared" ca="1" si="156"/>
        <v>22.096636278069472</v>
      </c>
      <c r="H344" s="307">
        <f t="shared" ca="1" si="157"/>
        <v>-38.454112066490652</v>
      </c>
      <c r="I344" s="304">
        <f t="shared" ca="1" si="158"/>
        <v>44.350649032765212</v>
      </c>
      <c r="J344" s="306">
        <f t="shared" ca="1" si="159"/>
        <v>601.5160232685389</v>
      </c>
      <c r="K344" s="307">
        <f t="shared" ca="1" si="160"/>
        <v>1358.2160366532491</v>
      </c>
      <c r="L344" s="304">
        <f t="shared" ca="1" si="145"/>
        <v>1485.453576679816</v>
      </c>
      <c r="M344" s="306">
        <f t="shared" ca="1" si="161"/>
        <v>-1.0492450464121279</v>
      </c>
      <c r="N344" s="304">
        <f t="shared" ca="1" si="162"/>
        <v>-60.11731283442311</v>
      </c>
      <c r="P344" s="310">
        <f t="shared" ca="1" si="163"/>
        <v>23</v>
      </c>
      <c r="Q344" s="304">
        <f t="shared" ca="1" si="164"/>
        <v>0</v>
      </c>
      <c r="R344" s="306">
        <f t="shared" ca="1" si="165"/>
        <v>0</v>
      </c>
      <c r="S344" s="307">
        <f t="shared" ca="1" si="166"/>
        <v>2.9792999999999985</v>
      </c>
      <c r="T344" s="304">
        <f t="shared" ca="1" si="146"/>
        <v>29.226932999999988</v>
      </c>
      <c r="U344" s="311">
        <f t="shared" ca="1" si="147"/>
        <v>0</v>
      </c>
      <c r="V344" s="306">
        <f t="shared" ca="1" si="148"/>
        <v>1.0691990995835117</v>
      </c>
      <c r="W344" s="304">
        <f t="shared" ca="1" si="149"/>
        <v>4.3065690331831368</v>
      </c>
      <c r="Y344" s="314" t="str">
        <f t="shared" ca="1" si="167"/>
        <v/>
      </c>
      <c r="Z344" s="315" t="str">
        <f t="shared" ca="1" si="168"/>
        <v/>
      </c>
      <c r="AA344" s="316" t="str">
        <f t="shared" ca="1" si="169"/>
        <v/>
      </c>
      <c r="AC344" s="310" t="e">
        <f t="shared" ca="1" si="170"/>
        <v>#N/A</v>
      </c>
      <c r="AD344" s="323" t="e">
        <f t="shared" ca="1" si="171"/>
        <v>#N/A</v>
      </c>
      <c r="AE344" s="324" t="e">
        <f t="shared" ca="1" si="150"/>
        <v>#N/A</v>
      </c>
      <c r="AG344" s="306">
        <f t="shared" ca="1" si="172"/>
        <v>7.0510991822833171</v>
      </c>
      <c r="AH344" s="304">
        <f t="shared" ca="1" si="173"/>
        <v>-1.3991856089656463</v>
      </c>
    </row>
    <row r="345" spans="1:34" x14ac:dyDescent="0.2">
      <c r="A345" s="347">
        <f t="shared" ca="1" si="151"/>
        <v>0.1</v>
      </c>
      <c r="B345" s="304">
        <f t="shared" ca="1" si="152"/>
        <v>20.699999999999989</v>
      </c>
      <c r="D345" s="306">
        <f t="shared" ca="1" si="153"/>
        <v>-0.72018382638475509</v>
      </c>
      <c r="E345" s="307">
        <f t="shared" ca="1" si="154"/>
        <v>-8.5566857299108801</v>
      </c>
      <c r="F345" s="304">
        <f t="shared" ca="1" si="155"/>
        <v>8.5869398172018574</v>
      </c>
      <c r="G345" s="306">
        <f t="shared" ca="1" si="156"/>
        <v>22.024617895430996</v>
      </c>
      <c r="H345" s="307">
        <f t="shared" ca="1" si="157"/>
        <v>-39.309780639481737</v>
      </c>
      <c r="I345" s="304">
        <f t="shared" ca="1" si="158"/>
        <v>45.059323645211457</v>
      </c>
      <c r="J345" s="306">
        <f t="shared" ca="1" si="159"/>
        <v>603.72208597721396</v>
      </c>
      <c r="K345" s="307">
        <f t="shared" ca="1" si="160"/>
        <v>1354.3278420179506</v>
      </c>
      <c r="L345" s="304">
        <f t="shared" ca="1" si="145"/>
        <v>1482.7960954769462</v>
      </c>
      <c r="M345" s="306">
        <f t="shared" ca="1" si="161"/>
        <v>-1.0600922812581479</v>
      </c>
      <c r="N345" s="304">
        <f t="shared" ca="1" si="162"/>
        <v>-60.738813610487298</v>
      </c>
      <c r="P345" s="310">
        <f t="shared" ca="1" si="163"/>
        <v>23</v>
      </c>
      <c r="Q345" s="304">
        <f t="shared" ca="1" si="164"/>
        <v>0</v>
      </c>
      <c r="R345" s="306">
        <f t="shared" ca="1" si="165"/>
        <v>0</v>
      </c>
      <c r="S345" s="307">
        <f t="shared" ca="1" si="166"/>
        <v>2.9792999999999985</v>
      </c>
      <c r="T345" s="304">
        <f t="shared" ca="1" si="146"/>
        <v>29.226932999999988</v>
      </c>
      <c r="U345" s="311">
        <f t="shared" ca="1" si="147"/>
        <v>0</v>
      </c>
      <c r="V345" s="306">
        <f t="shared" ca="1" si="148"/>
        <v>1.0696168272074995</v>
      </c>
      <c r="W345" s="304">
        <f t="shared" ca="1" si="149"/>
        <v>4.4470338284586237</v>
      </c>
      <c r="Y345" s="314" t="str">
        <f t="shared" ca="1" si="167"/>
        <v/>
      </c>
      <c r="Z345" s="315" t="str">
        <f t="shared" ca="1" si="168"/>
        <v/>
      </c>
      <c r="AA345" s="316" t="str">
        <f t="shared" ca="1" si="169"/>
        <v/>
      </c>
      <c r="AC345" s="310" t="e">
        <f t="shared" ca="1" si="170"/>
        <v>#N/A</v>
      </c>
      <c r="AD345" s="323" t="e">
        <f t="shared" ca="1" si="171"/>
        <v>#N/A</v>
      </c>
      <c r="AE345" s="324" t="e">
        <f t="shared" ca="1" si="150"/>
        <v>#N/A</v>
      </c>
      <c r="AG345" s="306">
        <f t="shared" ca="1" si="172"/>
        <v>7.0602374201881899</v>
      </c>
      <c r="AH345" s="304">
        <f t="shared" ca="1" si="173"/>
        <v>-1.4454969399466784</v>
      </c>
    </row>
    <row r="346" spans="1:34" x14ac:dyDescent="0.2">
      <c r="A346" s="347">
        <f t="shared" ca="1" si="151"/>
        <v>0.1</v>
      </c>
      <c r="B346" s="304">
        <f t="shared" ca="1" si="152"/>
        <v>20.79999999999999</v>
      </c>
      <c r="D346" s="306">
        <f t="shared" ca="1" si="153"/>
        <v>-0.72959174342155664</v>
      </c>
      <c r="E346" s="307">
        <f t="shared" ca="1" si="154"/>
        <v>-8.5078166192736493</v>
      </c>
      <c r="F346" s="304">
        <f t="shared" ca="1" si="155"/>
        <v>8.5390425540137578</v>
      </c>
      <c r="G346" s="306">
        <f t="shared" ca="1" si="156"/>
        <v>21.95165872108884</v>
      </c>
      <c r="H346" s="307">
        <f t="shared" ca="1" si="157"/>
        <v>-40.160562301409101</v>
      </c>
      <c r="I346" s="304">
        <f t="shared" ca="1" si="158"/>
        <v>45.768396137209329</v>
      </c>
      <c r="J346" s="306">
        <f t="shared" ca="1" si="159"/>
        <v>605.92089980803996</v>
      </c>
      <c r="K346" s="307">
        <f t="shared" ca="1" si="160"/>
        <v>1350.3543248709061</v>
      </c>
      <c r="L346" s="304">
        <f t="shared" ca="1" si="145"/>
        <v>1480.0665321267641</v>
      </c>
      <c r="M346" s="306">
        <f t="shared" ca="1" si="161"/>
        <v>-1.0705692337096646</v>
      </c>
      <c r="N346" s="304">
        <f t="shared" ca="1" si="162"/>
        <v>-61.33909876811844</v>
      </c>
      <c r="P346" s="310">
        <f t="shared" ca="1" si="163"/>
        <v>23</v>
      </c>
      <c r="Q346" s="304">
        <f t="shared" ca="1" si="164"/>
        <v>0</v>
      </c>
      <c r="R346" s="306">
        <f t="shared" ca="1" si="165"/>
        <v>0</v>
      </c>
      <c r="S346" s="307">
        <f t="shared" ca="1" si="166"/>
        <v>2.9792999999999985</v>
      </c>
      <c r="T346" s="304">
        <f t="shared" ca="1" si="146"/>
        <v>29.226932999999988</v>
      </c>
      <c r="U346" s="311">
        <f t="shared" ca="1" si="147"/>
        <v>0</v>
      </c>
      <c r="V346" s="306">
        <f t="shared" ca="1" si="148"/>
        <v>1.0700438786357835</v>
      </c>
      <c r="W346" s="304">
        <f t="shared" ca="1" si="149"/>
        <v>4.5899276904365625</v>
      </c>
      <c r="Y346" s="314" t="str">
        <f t="shared" ca="1" si="167"/>
        <v/>
      </c>
      <c r="Z346" s="315" t="str">
        <f t="shared" ca="1" si="168"/>
        <v/>
      </c>
      <c r="AA346" s="316" t="str">
        <f t="shared" ca="1" si="169"/>
        <v/>
      </c>
      <c r="AC346" s="310" t="e">
        <f t="shared" ca="1" si="170"/>
        <v>#N/A</v>
      </c>
      <c r="AD346" s="323" t="e">
        <f t="shared" ca="1" si="171"/>
        <v>#N/A</v>
      </c>
      <c r="AE346" s="324" t="e">
        <f t="shared" ca="1" si="150"/>
        <v>#N/A</v>
      </c>
      <c r="AG346" s="306">
        <f t="shared" ca="1" si="172"/>
        <v>7.0656059589988347</v>
      </c>
      <c r="AH346" s="304">
        <f t="shared" ca="1" si="173"/>
        <v>-1.4926438520654604</v>
      </c>
    </row>
    <row r="347" spans="1:34" x14ac:dyDescent="0.2">
      <c r="A347" s="347">
        <f t="shared" ca="1" si="151"/>
        <v>0.1</v>
      </c>
      <c r="B347" s="304">
        <f t="shared" ca="1" si="152"/>
        <v>20.899999999999991</v>
      </c>
      <c r="D347" s="306">
        <f t="shared" ca="1" si="153"/>
        <v>-0.73891291193801401</v>
      </c>
      <c r="E347" s="307">
        <f t="shared" ca="1" si="154"/>
        <v>-8.4581587376951415</v>
      </c>
      <c r="F347" s="304">
        <f t="shared" ca="1" si="155"/>
        <v>8.4903734619554516</v>
      </c>
      <c r="G347" s="306">
        <f t="shared" ca="1" si="156"/>
        <v>21.877767429895037</v>
      </c>
      <c r="H347" s="307">
        <f t="shared" ca="1" si="157"/>
        <v>-41.006378175178618</v>
      </c>
      <c r="I347" s="304">
        <f t="shared" ca="1" si="158"/>
        <v>46.477518853337486</v>
      </c>
      <c r="J347" s="306">
        <f t="shared" ca="1" si="159"/>
        <v>608.11237111558921</v>
      </c>
      <c r="K347" s="307">
        <f t="shared" ca="1" si="160"/>
        <v>1346.2959778470768</v>
      </c>
      <c r="L347" s="304">
        <f t="shared" ca="1" si="145"/>
        <v>1477.2655536060672</v>
      </c>
      <c r="M347" s="306">
        <f t="shared" ca="1" si="161"/>
        <v>-1.0806928374697751</v>
      </c>
      <c r="N347" s="304">
        <f t="shared" ca="1" si="162"/>
        <v>-61.919138537035543</v>
      </c>
      <c r="P347" s="310">
        <f t="shared" ca="1" si="163"/>
        <v>23</v>
      </c>
      <c r="Q347" s="304">
        <f t="shared" ca="1" si="164"/>
        <v>0</v>
      </c>
      <c r="R347" s="306">
        <f t="shared" ca="1" si="165"/>
        <v>0</v>
      </c>
      <c r="S347" s="307">
        <f t="shared" ca="1" si="166"/>
        <v>2.9792999999999985</v>
      </c>
      <c r="T347" s="304">
        <f t="shared" ca="1" si="146"/>
        <v>29.226932999999988</v>
      </c>
      <c r="U347" s="311">
        <f t="shared" ca="1" si="147"/>
        <v>0</v>
      </c>
      <c r="V347" s="306">
        <f t="shared" ca="1" si="148"/>
        <v>1.070480211220326</v>
      </c>
      <c r="W347" s="304">
        <f t="shared" ca="1" si="149"/>
        <v>4.7351897211872416</v>
      </c>
      <c r="Y347" s="314" t="str">
        <f t="shared" ca="1" si="167"/>
        <v/>
      </c>
      <c r="Z347" s="315" t="str">
        <f t="shared" ca="1" si="168"/>
        <v/>
      </c>
      <c r="AA347" s="316" t="str">
        <f t="shared" ca="1" si="169"/>
        <v/>
      </c>
      <c r="AC347" s="310" t="e">
        <f t="shared" ca="1" si="170"/>
        <v>#N/A</v>
      </c>
      <c r="AD347" s="323" t="e">
        <f t="shared" ca="1" si="171"/>
        <v>#N/A</v>
      </c>
      <c r="AE347" s="324" t="e">
        <f t="shared" ca="1" si="150"/>
        <v>#N/A</v>
      </c>
      <c r="AG347" s="306">
        <f t="shared" ca="1" si="172"/>
        <v>7.0674105752631053</v>
      </c>
      <c r="AH347" s="304">
        <f t="shared" ca="1" si="173"/>
        <v>-1.540606078755602</v>
      </c>
    </row>
    <row r="348" spans="1:34" x14ac:dyDescent="0.2">
      <c r="A348" s="347">
        <f t="shared" ca="1" si="151"/>
        <v>0.1</v>
      </c>
      <c r="B348" s="304">
        <f t="shared" ca="1" si="152"/>
        <v>20.999999999999993</v>
      </c>
      <c r="D348" s="306">
        <f t="shared" ca="1" si="153"/>
        <v>-0.74814058203400602</v>
      </c>
      <c r="E348" s="307">
        <f t="shared" ca="1" si="154"/>
        <v>-8.4077300593677684</v>
      </c>
      <c r="F348" s="304">
        <f t="shared" ca="1" si="155"/>
        <v>8.4409501290839604</v>
      </c>
      <c r="G348" s="306">
        <f t="shared" ca="1" si="156"/>
        <v>21.802953371691636</v>
      </c>
      <c r="H348" s="307">
        <f t="shared" ca="1" si="157"/>
        <v>-41.847151181115393</v>
      </c>
      <c r="I348" s="304">
        <f t="shared" ca="1" si="158"/>
        <v>47.186362836133988</v>
      </c>
      <c r="J348" s="306">
        <f t="shared" ca="1" si="159"/>
        <v>610.29640715566859</v>
      </c>
      <c r="K348" s="307">
        <f t="shared" ca="1" si="160"/>
        <v>1342.1533013792621</v>
      </c>
      <c r="L348" s="304">
        <f t="shared" ca="1" si="145"/>
        <v>1474.3938378161956</v>
      </c>
      <c r="M348" s="306">
        <f t="shared" ca="1" si="161"/>
        <v>-1.0904791594935814</v>
      </c>
      <c r="N348" s="304">
        <f t="shared" ca="1" si="162"/>
        <v>-62.479853485955573</v>
      </c>
      <c r="P348" s="310">
        <f t="shared" ca="1" si="163"/>
        <v>23</v>
      </c>
      <c r="Q348" s="304">
        <f t="shared" ca="1" si="164"/>
        <v>0</v>
      </c>
      <c r="R348" s="306">
        <f t="shared" ca="1" si="165"/>
        <v>0</v>
      </c>
      <c r="S348" s="307">
        <f t="shared" ca="1" si="166"/>
        <v>2.9792999999999985</v>
      </c>
      <c r="T348" s="304">
        <f t="shared" ca="1" si="146"/>
        <v>29.226932999999988</v>
      </c>
      <c r="U348" s="311">
        <f t="shared" ca="1" si="147"/>
        <v>0</v>
      </c>
      <c r="V348" s="306">
        <f t="shared" ca="1" si="148"/>
        <v>1.0709257816236057</v>
      </c>
      <c r="W348" s="304">
        <f t="shared" ca="1" si="149"/>
        <v>4.8827585491955059</v>
      </c>
      <c r="Y348" s="314" t="str">
        <f t="shared" ca="1" si="167"/>
        <v/>
      </c>
      <c r="Z348" s="315" t="str">
        <f t="shared" ca="1" si="168"/>
        <v/>
      </c>
      <c r="AA348" s="316" t="str">
        <f t="shared" ca="1" si="169"/>
        <v/>
      </c>
      <c r="AC348" s="310">
        <f t="shared" ca="1" si="170"/>
        <v>20.999999999999993</v>
      </c>
      <c r="AD348" s="323">
        <f t="shared" ca="1" si="171"/>
        <v>610.29640715566859</v>
      </c>
      <c r="AE348" s="324" t="e">
        <f t="shared" ca="1" si="150"/>
        <v>#N/A</v>
      </c>
      <c r="AG348" s="306">
        <f t="shared" ca="1" si="172"/>
        <v>7.0658443232940193</v>
      </c>
      <c r="AH348" s="304">
        <f t="shared" ca="1" si="173"/>
        <v>-1.5893631796687959</v>
      </c>
    </row>
    <row r="349" spans="1:34" x14ac:dyDescent="0.2">
      <c r="A349" s="347">
        <f t="shared" ca="1" si="151"/>
        <v>0.1</v>
      </c>
      <c r="B349" s="304">
        <f t="shared" ca="1" si="152"/>
        <v>21.099999999999994</v>
      </c>
      <c r="D349" s="306">
        <f t="shared" ca="1" si="153"/>
        <v>-0.75726840186295041</v>
      </c>
      <c r="E349" s="307">
        <f t="shared" ca="1" si="154"/>
        <v>-8.3565489579689078</v>
      </c>
      <c r="F349" s="304">
        <f t="shared" ca="1" si="155"/>
        <v>8.3907905419806124</v>
      </c>
      <c r="G349" s="306">
        <f t="shared" ca="1" si="156"/>
        <v>21.727226531505341</v>
      </c>
      <c r="H349" s="307">
        <f t="shared" ca="1" si="157"/>
        <v>-42.682806076912286</v>
      </c>
      <c r="I349" s="304">
        <f t="shared" ca="1" si="158"/>
        <v>47.89461668445265</v>
      </c>
      <c r="J349" s="306">
        <f t="shared" ca="1" si="159"/>
        <v>612.47291615082838</v>
      </c>
      <c r="K349" s="307">
        <f t="shared" ca="1" si="160"/>
        <v>1337.9268035163607</v>
      </c>
      <c r="L349" s="304">
        <f t="shared" ca="1" si="145"/>
        <v>1471.4520734926455</v>
      </c>
      <c r="M349" s="306">
        <f t="shared" ca="1" si="161"/>
        <v>-1.0999434401872039</v>
      </c>
      <c r="N349" s="304">
        <f t="shared" ca="1" si="162"/>
        <v>-63.02211682582729</v>
      </c>
      <c r="P349" s="310">
        <f t="shared" ca="1" si="163"/>
        <v>23</v>
      </c>
      <c r="Q349" s="304">
        <f t="shared" ca="1" si="164"/>
        <v>0</v>
      </c>
      <c r="R349" s="306">
        <f t="shared" ca="1" si="165"/>
        <v>0</v>
      </c>
      <c r="S349" s="307">
        <f t="shared" ca="1" si="166"/>
        <v>2.9792999999999985</v>
      </c>
      <c r="T349" s="304">
        <f t="shared" ca="1" si="146"/>
        <v>29.226932999999988</v>
      </c>
      <c r="U349" s="311">
        <f t="shared" ca="1" si="147"/>
        <v>0</v>
      </c>
      <c r="V349" s="306">
        <f t="shared" ca="1" si="148"/>
        <v>1.0713805458328358</v>
      </c>
      <c r="W349" s="304">
        <f t="shared" ca="1" si="149"/>
        <v>5.0325723737990113</v>
      </c>
      <c r="Y349" s="314" t="str">
        <f t="shared" ca="1" si="167"/>
        <v/>
      </c>
      <c r="Z349" s="315" t="str">
        <f t="shared" ca="1" si="168"/>
        <v/>
      </c>
      <c r="AA349" s="316" t="str">
        <f t="shared" ca="1" si="169"/>
        <v/>
      </c>
      <c r="AC349" s="310" t="e">
        <f t="shared" ca="1" si="170"/>
        <v>#N/A</v>
      </c>
      <c r="AD349" s="323" t="e">
        <f t="shared" ca="1" si="171"/>
        <v>#N/A</v>
      </c>
      <c r="AE349" s="324" t="e">
        <f t="shared" ca="1" si="150"/>
        <v>#N/A</v>
      </c>
      <c r="AG349" s="306">
        <f t="shared" ca="1" si="172"/>
        <v>7.0610884144199932</v>
      </c>
      <c r="AH349" s="304">
        <f t="shared" ca="1" si="173"/>
        <v>-1.6388945554981065</v>
      </c>
    </row>
    <row r="350" spans="1:34" x14ac:dyDescent="0.2">
      <c r="A350" s="347">
        <f t="shared" ca="1" si="151"/>
        <v>0.1</v>
      </c>
      <c r="B350" s="304">
        <f t="shared" ca="1" si="152"/>
        <v>21.199999999999996</v>
      </c>
      <c r="D350" s="306">
        <f t="shared" ca="1" si="153"/>
        <v>-0.76629039719552361</v>
      </c>
      <c r="E350" s="307">
        <f t="shared" ca="1" si="154"/>
        <v>-8.3046341690381169</v>
      </c>
      <c r="F350" s="304">
        <f t="shared" ca="1" si="155"/>
        <v>8.3399130483710362</v>
      </c>
      <c r="G350" s="306">
        <f t="shared" ca="1" si="156"/>
        <v>21.650597491785788</v>
      </c>
      <c r="H350" s="307">
        <f t="shared" ca="1" si="157"/>
        <v>-43.513269493816097</v>
      </c>
      <c r="I350" s="304">
        <f t="shared" ca="1" si="158"/>
        <v>48.601985492290204</v>
      </c>
      <c r="J350" s="306">
        <f t="shared" ca="1" si="159"/>
        <v>614.64180735199295</v>
      </c>
      <c r="K350" s="307">
        <f t="shared" ca="1" si="160"/>
        <v>1333.6169997378242</v>
      </c>
      <c r="L350" s="304">
        <f t="shared" ca="1" si="145"/>
        <v>1468.440960111996</v>
      </c>
      <c r="M350" s="306">
        <f t="shared" ca="1" si="161"/>
        <v>-1.109100133224417</v>
      </c>
      <c r="N350" s="304">
        <f t="shared" ca="1" si="162"/>
        <v>-63.546756691156425</v>
      </c>
      <c r="P350" s="310">
        <f t="shared" ca="1" si="163"/>
        <v>23</v>
      </c>
      <c r="Q350" s="304">
        <f t="shared" ca="1" si="164"/>
        <v>0</v>
      </c>
      <c r="R350" s="306">
        <f t="shared" ca="1" si="165"/>
        <v>0</v>
      </c>
      <c r="S350" s="307">
        <f t="shared" ca="1" si="166"/>
        <v>2.9792999999999985</v>
      </c>
      <c r="T350" s="304">
        <f t="shared" ca="1" si="146"/>
        <v>29.226932999999988</v>
      </c>
      <c r="U350" s="311">
        <f t="shared" ca="1" si="147"/>
        <v>0</v>
      </c>
      <c r="V350" s="306">
        <f t="shared" ca="1" si="148"/>
        <v>1.0718444591745591</v>
      </c>
      <c r="W350" s="304">
        <f t="shared" ca="1" si="149"/>
        <v>5.1845690098032566</v>
      </c>
      <c r="Y350" s="314" t="str">
        <f t="shared" ca="1" si="167"/>
        <v/>
      </c>
      <c r="Z350" s="315" t="str">
        <f t="shared" ca="1" si="168"/>
        <v/>
      </c>
      <c r="AA350" s="316" t="str">
        <f t="shared" ca="1" si="169"/>
        <v/>
      </c>
      <c r="AC350" s="310" t="e">
        <f t="shared" ca="1" si="170"/>
        <v>#N/A</v>
      </c>
      <c r="AD350" s="323" t="e">
        <f t="shared" ca="1" si="171"/>
        <v>#N/A</v>
      </c>
      <c r="AE350" s="324" t="e">
        <f t="shared" ca="1" si="150"/>
        <v>#N/A</v>
      </c>
      <c r="AG350" s="306">
        <f t="shared" ca="1" si="172"/>
        <v>7.0533130467172001</v>
      </c>
      <c r="AH350" s="304">
        <f t="shared" ca="1" si="173"/>
        <v>-1.6891794628936374</v>
      </c>
    </row>
    <row r="351" spans="1:34" x14ac:dyDescent="0.2">
      <c r="A351" s="347">
        <f t="shared" ca="1" si="151"/>
        <v>0.1</v>
      </c>
      <c r="B351" s="304">
        <f t="shared" ca="1" si="152"/>
        <v>21.299999999999997</v>
      </c>
      <c r="D351" s="306">
        <f t="shared" ca="1" si="153"/>
        <v>-0.77520095237117626</v>
      </c>
      <c r="E351" s="307">
        <f t="shared" ca="1" si="154"/>
        <v>-8.2520047545945285</v>
      </c>
      <c r="F351" s="304">
        <f t="shared" ca="1" si="155"/>
        <v>8.2883363219893464</v>
      </c>
      <c r="G351" s="306">
        <f t="shared" ca="1" si="156"/>
        <v>21.573077396548669</v>
      </c>
      <c r="H351" s="307">
        <f t="shared" ca="1" si="157"/>
        <v>-44.33846996927555</v>
      </c>
      <c r="I351" s="304">
        <f t="shared" ca="1" si="158"/>
        <v>49.308189863082873</v>
      </c>
      <c r="J351" s="306">
        <f t="shared" ca="1" si="159"/>
        <v>616.80299109640964</v>
      </c>
      <c r="K351" s="307">
        <f t="shared" ca="1" si="160"/>
        <v>1329.2244127646698</v>
      </c>
      <c r="L351" s="304">
        <f t="shared" ca="1" si="145"/>
        <v>1465.3612077965824</v>
      </c>
      <c r="M351" s="306">
        <f t="shared" ca="1" si="161"/>
        <v>-1.1179629446323938</v>
      </c>
      <c r="N351" s="304">
        <f t="shared" ca="1" si="162"/>
        <v>-64.054558379453894</v>
      </c>
      <c r="P351" s="310">
        <f t="shared" ca="1" si="163"/>
        <v>23</v>
      </c>
      <c r="Q351" s="304">
        <f t="shared" ca="1" si="164"/>
        <v>0</v>
      </c>
      <c r="R351" s="306">
        <f t="shared" ca="1" si="165"/>
        <v>0</v>
      </c>
      <c r="S351" s="307">
        <f t="shared" ca="1" si="166"/>
        <v>2.9792999999999985</v>
      </c>
      <c r="T351" s="304">
        <f t="shared" ca="1" si="146"/>
        <v>29.226932999999988</v>
      </c>
      <c r="U351" s="311">
        <f t="shared" ca="1" si="147"/>
        <v>0</v>
      </c>
      <c r="V351" s="306">
        <f t="shared" ca="1" si="148"/>
        <v>1.0723174763295895</v>
      </c>
      <c r="W351" s="304">
        <f t="shared" ca="1" si="149"/>
        <v>5.3386859321801285</v>
      </c>
      <c r="Y351" s="314" t="str">
        <f t="shared" ca="1" si="167"/>
        <v/>
      </c>
      <c r="Z351" s="315" t="str">
        <f t="shared" ca="1" si="168"/>
        <v/>
      </c>
      <c r="AA351" s="316" t="str">
        <f t="shared" ca="1" si="169"/>
        <v/>
      </c>
      <c r="AC351" s="310" t="e">
        <f t="shared" ca="1" si="170"/>
        <v>#N/A</v>
      </c>
      <c r="AD351" s="323" t="e">
        <f t="shared" ca="1" si="171"/>
        <v>#N/A</v>
      </c>
      <c r="AE351" s="324" t="e">
        <f t="shared" ca="1" si="150"/>
        <v>#N/A</v>
      </c>
      <c r="AG351" s="306">
        <f t="shared" ca="1" si="172"/>
        <v>7.0426781846223907</v>
      </c>
      <c r="AH351" s="304">
        <f t="shared" ca="1" si="173"/>
        <v>-1.7401970294375388</v>
      </c>
    </row>
    <row r="352" spans="1:34" x14ac:dyDescent="0.2">
      <c r="A352" s="347">
        <f t="shared" ca="1" si="151"/>
        <v>0.1</v>
      </c>
      <c r="B352" s="304">
        <f t="shared" ca="1" si="152"/>
        <v>21.4</v>
      </c>
      <c r="D352" s="306">
        <f t="shared" ca="1" si="153"/>
        <v>-0.78399479254407034</v>
      </c>
      <c r="E352" s="307">
        <f t="shared" ca="1" si="154"/>
        <v>-8.1986800697778577</v>
      </c>
      <c r="F352" s="304">
        <f t="shared" ca="1" si="155"/>
        <v>8.2360793294691419</v>
      </c>
      <c r="G352" s="306">
        <f t="shared" ca="1" si="156"/>
        <v>21.494677917294261</v>
      </c>
      <c r="H352" s="307">
        <f t="shared" ca="1" si="157"/>
        <v>-45.158337976253335</v>
      </c>
      <c r="I352" s="304">
        <f t="shared" ca="1" si="158"/>
        <v>50.012964994546586</v>
      </c>
      <c r="J352" s="306">
        <f t="shared" ca="1" si="159"/>
        <v>618.95637886210181</v>
      </c>
      <c r="K352" s="307">
        <f t="shared" ca="1" si="160"/>
        <v>1324.7495723673933</v>
      </c>
      <c r="L352" s="304">
        <f t="shared" ca="1" si="145"/>
        <v>1462.2135372173509</v>
      </c>
      <c r="M352" s="306">
        <f t="shared" ca="1" si="161"/>
        <v>-1.1265448708827286</v>
      </c>
      <c r="N352" s="304">
        <f t="shared" ca="1" si="162"/>
        <v>-64.546266533690613</v>
      </c>
      <c r="P352" s="310">
        <f t="shared" ca="1" si="163"/>
        <v>23</v>
      </c>
      <c r="Q352" s="304">
        <f t="shared" ca="1" si="164"/>
        <v>0</v>
      </c>
      <c r="R352" s="306">
        <f t="shared" ca="1" si="165"/>
        <v>0</v>
      </c>
      <c r="S352" s="307">
        <f t="shared" ca="1" si="166"/>
        <v>2.9792999999999985</v>
      </c>
      <c r="T352" s="304">
        <f t="shared" ca="1" si="146"/>
        <v>29.226932999999988</v>
      </c>
      <c r="U352" s="311">
        <f t="shared" ca="1" si="147"/>
        <v>0</v>
      </c>
      <c r="V352" s="306">
        <f t="shared" ca="1" si="148"/>
        <v>1.0727995513482698</v>
      </c>
      <c r="W352" s="304">
        <f t="shared" ca="1" si="149"/>
        <v>5.494860320761612</v>
      </c>
      <c r="Y352" s="314" t="str">
        <f t="shared" ca="1" si="167"/>
        <v/>
      </c>
      <c r="Z352" s="315" t="str">
        <f t="shared" ca="1" si="168"/>
        <v/>
      </c>
      <c r="AA352" s="316" t="str">
        <f t="shared" ca="1" si="169"/>
        <v/>
      </c>
      <c r="AC352" s="310" t="e">
        <f t="shared" ca="1" si="170"/>
        <v>#N/A</v>
      </c>
      <c r="AD352" s="323" t="e">
        <f t="shared" ca="1" si="171"/>
        <v>#N/A</v>
      </c>
      <c r="AE352" s="324" t="e">
        <f t="shared" ca="1" si="150"/>
        <v>#N/A</v>
      </c>
      <c r="AG352" s="306">
        <f t="shared" ca="1" si="172"/>
        <v>7.0293342888054786</v>
      </c>
      <c r="AH352" s="304">
        <f t="shared" ca="1" si="173"/>
        <v>-1.7919262686470416</v>
      </c>
    </row>
    <row r="353" spans="1:34" x14ac:dyDescent="0.2">
      <c r="A353" s="347">
        <f t="shared" ca="1" si="151"/>
        <v>0.1</v>
      </c>
      <c r="B353" s="304">
        <f t="shared" ca="1" si="152"/>
        <v>21.5</v>
      </c>
      <c r="D353" s="306">
        <f t="shared" ca="1" si="153"/>
        <v>-0.79266696713239315</v>
      </c>
      <c r="E353" s="307">
        <f t="shared" ca="1" si="154"/>
        <v>-8.1446797313219665</v>
      </c>
      <c r="F353" s="304">
        <f t="shared" ca="1" si="155"/>
        <v>8.183161299069555</v>
      </c>
      <c r="G353" s="306">
        <f t="shared" ca="1" si="156"/>
        <v>21.415411220581021</v>
      </c>
      <c r="H353" s="307">
        <f t="shared" ca="1" si="157"/>
        <v>-45.972805949385531</v>
      </c>
      <c r="I353" s="304">
        <f t="shared" ca="1" si="158"/>
        <v>50.716059829273462</v>
      </c>
      <c r="J353" s="306">
        <f t="shared" ca="1" si="159"/>
        <v>621.10188331899553</v>
      </c>
      <c r="K353" s="307">
        <f t="shared" ca="1" si="160"/>
        <v>1320.1930151711113</v>
      </c>
      <c r="L353" s="304">
        <f t="shared" ca="1" si="145"/>
        <v>1458.9986794952877</v>
      </c>
      <c r="M353" s="306">
        <f t="shared" ca="1" si="161"/>
        <v>-1.1348582357932979</v>
      </c>
      <c r="N353" s="304">
        <f t="shared" ca="1" si="162"/>
        <v>-65.022587256618394</v>
      </c>
      <c r="P353" s="310">
        <f t="shared" ca="1" si="163"/>
        <v>23</v>
      </c>
      <c r="Q353" s="304">
        <f t="shared" ca="1" si="164"/>
        <v>0</v>
      </c>
      <c r="R353" s="306">
        <f t="shared" ca="1" si="165"/>
        <v>0</v>
      </c>
      <c r="S353" s="307">
        <f t="shared" ca="1" si="166"/>
        <v>2.9792999999999985</v>
      </c>
      <c r="T353" s="304">
        <f t="shared" ca="1" si="146"/>
        <v>29.226932999999988</v>
      </c>
      <c r="U353" s="311">
        <f t="shared" ca="1" si="147"/>
        <v>0</v>
      </c>
      <c r="V353" s="306">
        <f t="shared" ca="1" si="148"/>
        <v>1.0732906376660087</v>
      </c>
      <c r="W353" s="304">
        <f t="shared" ca="1" si="149"/>
        <v>5.6530291048448751</v>
      </c>
      <c r="Y353" s="314" t="str">
        <f t="shared" ca="1" si="167"/>
        <v/>
      </c>
      <c r="Z353" s="315" t="str">
        <f t="shared" ca="1" si="168"/>
        <v/>
      </c>
      <c r="AA353" s="316" t="str">
        <f t="shared" ca="1" si="169"/>
        <v/>
      </c>
      <c r="AC353" s="310" t="e">
        <f t="shared" ca="1" si="170"/>
        <v>#N/A</v>
      </c>
      <c r="AD353" s="323" t="e">
        <f t="shared" ca="1" si="171"/>
        <v>#N/A</v>
      </c>
      <c r="AE353" s="324" t="e">
        <f t="shared" ca="1" si="150"/>
        <v>#N/A</v>
      </c>
      <c r="AG353" s="306">
        <f t="shared" ca="1" si="172"/>
        <v>7.0134229974054811</v>
      </c>
      <c r="AH353" s="304">
        <f t="shared" ca="1" si="173"/>
        <v>-1.8443460949758719</v>
      </c>
    </row>
    <row r="354" spans="1:34" x14ac:dyDescent="0.2">
      <c r="A354" s="347">
        <f t="shared" ca="1" si="151"/>
        <v>0.1</v>
      </c>
      <c r="B354" s="304">
        <f t="shared" ca="1" si="152"/>
        <v>21.6</v>
      </c>
      <c r="D354" s="306">
        <f t="shared" ca="1" si="153"/>
        <v>-0.8012128343832533</v>
      </c>
      <c r="E354" s="307">
        <f t="shared" ca="1" si="154"/>
        <v>-8.0900235876927926</v>
      </c>
      <c r="F354" s="304">
        <f t="shared" ca="1" si="155"/>
        <v>8.1296016910674158</v>
      </c>
      <c r="G354" s="306">
        <f t="shared" ca="1" si="156"/>
        <v>21.335289937142697</v>
      </c>
      <c r="H354" s="307">
        <f t="shared" ca="1" si="157"/>
        <v>-46.781808308154808</v>
      </c>
      <c r="I354" s="304">
        <f t="shared" ca="1" si="158"/>
        <v>51.417236266478625</v>
      </c>
      <c r="J354" s="306">
        <f t="shared" ca="1" si="159"/>
        <v>623.23941837688176</v>
      </c>
      <c r="K354" s="307">
        <f t="shared" ca="1" si="160"/>
        <v>1315.5552844582342</v>
      </c>
      <c r="L354" s="304">
        <f t="shared" ca="1" si="145"/>
        <v>1455.7173761018103</v>
      </c>
      <c r="M354" s="306">
        <f t="shared" ca="1" si="161"/>
        <v>-1.1429147261029886</v>
      </c>
      <c r="N354" s="304">
        <f t="shared" ca="1" si="162"/>
        <v>-65.484190149051713</v>
      </c>
      <c r="P354" s="310">
        <f t="shared" ca="1" si="163"/>
        <v>23</v>
      </c>
      <c r="Q354" s="304">
        <f t="shared" ca="1" si="164"/>
        <v>0</v>
      </c>
      <c r="R354" s="306">
        <f t="shared" ca="1" si="165"/>
        <v>0</v>
      </c>
      <c r="S354" s="307">
        <f t="shared" ca="1" si="166"/>
        <v>2.9792999999999985</v>
      </c>
      <c r="T354" s="304">
        <f t="shared" ca="1" si="146"/>
        <v>29.226932999999988</v>
      </c>
      <c r="U354" s="311">
        <f t="shared" ca="1" si="147"/>
        <v>0</v>
      </c>
      <c r="V354" s="306">
        <f t="shared" ca="1" si="148"/>
        <v>1.0737906881190784</v>
      </c>
      <c r="W354" s="304">
        <f t="shared" ca="1" si="149"/>
        <v>5.813129007629418</v>
      </c>
      <c r="Y354" s="314" t="str">
        <f t="shared" ca="1" si="167"/>
        <v/>
      </c>
      <c r="Z354" s="315" t="str">
        <f t="shared" ca="1" si="168"/>
        <v/>
      </c>
      <c r="AA354" s="316" t="str">
        <f t="shared" ca="1" si="169"/>
        <v/>
      </c>
      <c r="AC354" s="310" t="e">
        <f t="shared" ca="1" si="170"/>
        <v>#N/A</v>
      </c>
      <c r="AD354" s="323" t="e">
        <f t="shared" ca="1" si="171"/>
        <v>#N/A</v>
      </c>
      <c r="AE354" s="324" t="e">
        <f t="shared" ca="1" si="150"/>
        <v>#N/A</v>
      </c>
      <c r="AG354" s="306">
        <f t="shared" ca="1" si="172"/>
        <v>6.9950777602533263</v>
      </c>
      <c r="AH354" s="304">
        <f t="shared" ca="1" si="173"/>
        <v>-1.8974353387859155</v>
      </c>
    </row>
    <row r="355" spans="1:34" x14ac:dyDescent="0.2">
      <c r="A355" s="347">
        <f t="shared" ca="1" si="151"/>
        <v>0.1</v>
      </c>
      <c r="B355" s="304">
        <f t="shared" ca="1" si="152"/>
        <v>21.700000000000003</v>
      </c>
      <c r="D355" s="306">
        <f t="shared" ca="1" si="153"/>
        <v>-0.80962804696935797</v>
      </c>
      <c r="E355" s="307">
        <f t="shared" ca="1" si="154"/>
        <v>-8.0347316907426691</v>
      </c>
      <c r="F355" s="304">
        <f t="shared" ca="1" si="155"/>
        <v>8.0754201696669607</v>
      </c>
      <c r="G355" s="306">
        <f t="shared" ca="1" si="156"/>
        <v>21.254327132445763</v>
      </c>
      <c r="H355" s="307">
        <f t="shared" ca="1" si="157"/>
        <v>-47.585281477229074</v>
      </c>
      <c r="I355" s="304">
        <f t="shared" ca="1" si="158"/>
        <v>52.116268430502018</v>
      </c>
      <c r="J355" s="306">
        <f t="shared" ca="1" si="159"/>
        <v>625.36889923036119</v>
      </c>
      <c r="K355" s="307">
        <f t="shared" ca="1" si="160"/>
        <v>1310.836929968965</v>
      </c>
      <c r="L355" s="304">
        <f t="shared" ca="1" si="145"/>
        <v>1452.3703787584816</v>
      </c>
      <c r="M355" s="306">
        <f t="shared" ca="1" si="161"/>
        <v>-1.1507254256270212</v>
      </c>
      <c r="N355" s="304">
        <f t="shared" ca="1" si="162"/>
        <v>-65.931710266823615</v>
      </c>
      <c r="P355" s="310">
        <f t="shared" ca="1" si="163"/>
        <v>23</v>
      </c>
      <c r="Q355" s="304">
        <f t="shared" ca="1" si="164"/>
        <v>0</v>
      </c>
      <c r="R355" s="306">
        <f t="shared" ca="1" si="165"/>
        <v>0</v>
      </c>
      <c r="S355" s="307">
        <f t="shared" ca="1" si="166"/>
        <v>2.9792999999999985</v>
      </c>
      <c r="T355" s="304">
        <f t="shared" ca="1" si="146"/>
        <v>29.226932999999988</v>
      </c>
      <c r="U355" s="311">
        <f t="shared" ca="1" si="147"/>
        <v>0</v>
      </c>
      <c r="V355" s="306">
        <f t="shared" ca="1" si="148"/>
        <v>1.0742996549606352</v>
      </c>
      <c r="W355" s="304">
        <f t="shared" ca="1" si="149"/>
        <v>5.9750965904109616</v>
      </c>
      <c r="Y355" s="314" t="str">
        <f t="shared" ca="1" si="167"/>
        <v/>
      </c>
      <c r="Z355" s="315" t="str">
        <f t="shared" ca="1" si="168"/>
        <v/>
      </c>
      <c r="AA355" s="316" t="str">
        <f t="shared" ca="1" si="169"/>
        <v/>
      </c>
      <c r="AC355" s="310" t="e">
        <f t="shared" ca="1" si="170"/>
        <v>#N/A</v>
      </c>
      <c r="AD355" s="323" t="e">
        <f t="shared" ca="1" si="171"/>
        <v>#N/A</v>
      </c>
      <c r="AE355" s="324" t="e">
        <f t="shared" ca="1" si="150"/>
        <v>#N/A</v>
      </c>
      <c r="AG355" s="306">
        <f t="shared" ca="1" si="172"/>
        <v>6.9744244280636023</v>
      </c>
      <c r="AH355" s="304">
        <f t="shared" ca="1" si="173"/>
        <v>-1.9511727612625183</v>
      </c>
    </row>
    <row r="356" spans="1:34" x14ac:dyDescent="0.2">
      <c r="A356" s="347">
        <f t="shared" ca="1" si="151"/>
        <v>0.1</v>
      </c>
      <c r="B356" s="304">
        <f t="shared" ca="1" si="152"/>
        <v>21.800000000000004</v>
      </c>
      <c r="D356" s="306">
        <f t="shared" ca="1" si="153"/>
        <v>-0.81790853853800671</v>
      </c>
      <c r="E356" s="307">
        <f t="shared" ca="1" si="154"/>
        <v>-7.9788242687510804</v>
      </c>
      <c r="F356" s="304">
        <f t="shared" ca="1" si="155"/>
        <v>8.0206365762964609</v>
      </c>
      <c r="G356" s="306">
        <f t="shared" ca="1" si="156"/>
        <v>21.172536278591963</v>
      </c>
      <c r="H356" s="307">
        <f t="shared" ca="1" si="157"/>
        <v>-48.38316390410418</v>
      </c>
      <c r="I356" s="304">
        <f t="shared" ca="1" si="158"/>
        <v>52.81294199189913</v>
      </c>
      <c r="J356" s="306">
        <f t="shared" ca="1" si="159"/>
        <v>627.49024240091308</v>
      </c>
      <c r="K356" s="307">
        <f t="shared" ca="1" si="160"/>
        <v>1306.0385076998984</v>
      </c>
      <c r="L356" s="304">
        <f t="shared" ca="1" si="145"/>
        <v>1448.9584493363964</v>
      </c>
      <c r="M356" s="306">
        <f t="shared" ca="1" si="161"/>
        <v>-1.1583008479372601</v>
      </c>
      <c r="N356" s="304">
        <f t="shared" ca="1" si="162"/>
        <v>-66.365749993229542</v>
      </c>
      <c r="P356" s="310">
        <f t="shared" ca="1" si="163"/>
        <v>23</v>
      </c>
      <c r="Q356" s="304">
        <f t="shared" ca="1" si="164"/>
        <v>0</v>
      </c>
      <c r="R356" s="306">
        <f t="shared" ca="1" si="165"/>
        <v>0</v>
      </c>
      <c r="S356" s="307">
        <f t="shared" ca="1" si="166"/>
        <v>2.9792999999999985</v>
      </c>
      <c r="T356" s="304">
        <f t="shared" ca="1" si="146"/>
        <v>29.226932999999988</v>
      </c>
      <c r="U356" s="311">
        <f t="shared" ca="1" si="147"/>
        <v>0</v>
      </c>
      <c r="V356" s="306">
        <f t="shared" ca="1" si="148"/>
        <v>1.0748174898769494</v>
      </c>
      <c r="W356" s="304">
        <f t="shared" ca="1" si="149"/>
        <v>6.1388682964607995</v>
      </c>
      <c r="Y356" s="314" t="str">
        <f t="shared" ca="1" si="167"/>
        <v/>
      </c>
      <c r="Z356" s="315" t="str">
        <f t="shared" ca="1" si="168"/>
        <v/>
      </c>
      <c r="AA356" s="316" t="str">
        <f t="shared" ca="1" si="169"/>
        <v/>
      </c>
      <c r="AC356" s="310" t="e">
        <f t="shared" ca="1" si="170"/>
        <v>#N/A</v>
      </c>
      <c r="AD356" s="323" t="e">
        <f t="shared" ca="1" si="171"/>
        <v>#N/A</v>
      </c>
      <c r="AE356" s="324" t="e">
        <f t="shared" ca="1" si="150"/>
        <v>#N/A</v>
      </c>
      <c r="AG356" s="306">
        <f t="shared" ca="1" si="172"/>
        <v>6.9515817988097188</v>
      </c>
      <c r="AH356" s="304">
        <f t="shared" ca="1" si="173"/>
        <v>-2.0055370692481338</v>
      </c>
    </row>
    <row r="357" spans="1:34" x14ac:dyDescent="0.2">
      <c r="A357" s="347">
        <f t="shared" ca="1" si="151"/>
        <v>0.1</v>
      </c>
      <c r="B357" s="304">
        <f t="shared" ca="1" si="152"/>
        <v>21.900000000000006</v>
      </c>
      <c r="D357" s="306">
        <f t="shared" ca="1" si="153"/>
        <v>-0.82605051113759398</v>
      </c>
      <c r="E357" s="307">
        <f t="shared" ca="1" si="154"/>
        <v>-7.9223217007378226</v>
      </c>
      <c r="F357" s="304">
        <f t="shared" ca="1" si="155"/>
        <v>7.9652709041772143</v>
      </c>
      <c r="G357" s="306">
        <f t="shared" ca="1" si="156"/>
        <v>21.089931227478203</v>
      </c>
      <c r="H357" s="307">
        <f t="shared" ca="1" si="157"/>
        <v>-49.175396074177961</v>
      </c>
      <c r="I357" s="304">
        <f t="shared" ca="1" si="158"/>
        <v>53.507053537192995</v>
      </c>
      <c r="J357" s="306">
        <f t="shared" ca="1" si="159"/>
        <v>629.60336577621661</v>
      </c>
      <c r="K357" s="307">
        <f t="shared" ca="1" si="160"/>
        <v>1301.1605797009843</v>
      </c>
      <c r="L357" s="304">
        <f t="shared" ca="1" si="145"/>
        <v>1445.4823597555737</v>
      </c>
      <c r="M357" s="306">
        <f t="shared" ca="1" si="161"/>
        <v>-1.1656509675411155</v>
      </c>
      <c r="N357" s="304">
        <f t="shared" ca="1" si="162"/>
        <v>-66.786880825446829</v>
      </c>
      <c r="P357" s="310">
        <f t="shared" ca="1" si="163"/>
        <v>23</v>
      </c>
      <c r="Q357" s="304">
        <f t="shared" ca="1" si="164"/>
        <v>0</v>
      </c>
      <c r="R357" s="306">
        <f t="shared" ca="1" si="165"/>
        <v>0</v>
      </c>
      <c r="S357" s="307">
        <f t="shared" ca="1" si="166"/>
        <v>2.9792999999999985</v>
      </c>
      <c r="T357" s="304">
        <f t="shared" ca="1" si="146"/>
        <v>29.226932999999988</v>
      </c>
      <c r="U357" s="311">
        <f t="shared" ca="1" si="147"/>
        <v>0</v>
      </c>
      <c r="V357" s="306">
        <f t="shared" ca="1" si="148"/>
        <v>1.0753441440038121</v>
      </c>
      <c r="W357" s="304">
        <f t="shared" ca="1" si="149"/>
        <v>6.3043804945231141</v>
      </c>
      <c r="Y357" s="314" t="str">
        <f t="shared" ca="1" si="167"/>
        <v/>
      </c>
      <c r="Z357" s="315" t="str">
        <f t="shared" ca="1" si="168"/>
        <v/>
      </c>
      <c r="AA357" s="316" t="str">
        <f t="shared" ca="1" si="169"/>
        <v/>
      </c>
      <c r="AC357" s="310" t="e">
        <f t="shared" ca="1" si="170"/>
        <v>#N/A</v>
      </c>
      <c r="AD357" s="323" t="e">
        <f t="shared" ca="1" si="171"/>
        <v>#N/A</v>
      </c>
      <c r="AE357" s="324" t="e">
        <f t="shared" ca="1" si="150"/>
        <v>#N/A</v>
      </c>
      <c r="AG357" s="306">
        <f t="shared" ca="1" si="172"/>
        <v>6.9266621236313881</v>
      </c>
      <c r="AH357" s="304">
        <f t="shared" ca="1" si="173"/>
        <v>-2.0605069299703964</v>
      </c>
    </row>
    <row r="358" spans="1:34" x14ac:dyDescent="0.2">
      <c r="A358" s="347">
        <f t="shared" ca="1" si="151"/>
        <v>0.1</v>
      </c>
      <c r="B358" s="304">
        <f t="shared" ca="1" si="152"/>
        <v>22.000000000000007</v>
      </c>
      <c r="D358" s="306">
        <f t="shared" ca="1" si="153"/>
        <v>-0.83405042345151792</v>
      </c>
      <c r="E358" s="307">
        <f t="shared" ca="1" si="154"/>
        <v>-7.8652444919485633</v>
      </c>
      <c r="F358" s="304">
        <f t="shared" ca="1" si="155"/>
        <v>7.9093432740643435</v>
      </c>
      <c r="G358" s="306">
        <f t="shared" ca="1" si="156"/>
        <v>21.006526185133051</v>
      </c>
      <c r="H358" s="307">
        <f t="shared" ca="1" si="157"/>
        <v>-49.961920523372818</v>
      </c>
      <c r="I358" s="304">
        <f t="shared" ca="1" si="158"/>
        <v>54.198409983601017</v>
      </c>
      <c r="J358" s="306">
        <f t="shared" ca="1" si="159"/>
        <v>631.70818864684713</v>
      </c>
      <c r="K358" s="307">
        <f t="shared" ca="1" si="160"/>
        <v>1296.2037138711066</v>
      </c>
      <c r="L358" s="304">
        <f t="shared" ca="1" si="145"/>
        <v>1441.9428918846718</v>
      </c>
      <c r="M358" s="306">
        <f t="shared" ca="1" si="161"/>
        <v>-1.172785249555641</v>
      </c>
      <c r="N358" s="304">
        <f t="shared" ca="1" si="162"/>
        <v>-67.195645074735239</v>
      </c>
      <c r="P358" s="310">
        <f t="shared" ca="1" si="163"/>
        <v>23</v>
      </c>
      <c r="Q358" s="304">
        <f t="shared" ca="1" si="164"/>
        <v>0</v>
      </c>
      <c r="R358" s="306">
        <f t="shared" ca="1" si="165"/>
        <v>0</v>
      </c>
      <c r="S358" s="307">
        <f t="shared" ca="1" si="166"/>
        <v>2.9792999999999985</v>
      </c>
      <c r="T358" s="304">
        <f t="shared" ca="1" si="146"/>
        <v>29.226932999999988</v>
      </c>
      <c r="U358" s="311">
        <f t="shared" ca="1" si="147"/>
        <v>0</v>
      </c>
      <c r="V358" s="306">
        <f t="shared" ca="1" si="148"/>
        <v>1.0758795679431004</v>
      </c>
      <c r="W358" s="304">
        <f t="shared" ca="1" si="149"/>
        <v>6.4715695218662859</v>
      </c>
      <c r="Y358" s="314" t="str">
        <f t="shared" ca="1" si="167"/>
        <v/>
      </c>
      <c r="Z358" s="315" t="str">
        <f t="shared" ca="1" si="168"/>
        <v/>
      </c>
      <c r="AA358" s="316" t="str">
        <f t="shared" ca="1" si="169"/>
        <v/>
      </c>
      <c r="AC358" s="310">
        <f t="shared" ca="1" si="170"/>
        <v>22.000000000000007</v>
      </c>
      <c r="AD358" s="323">
        <f t="shared" ca="1" si="171"/>
        <v>631.70818864684713</v>
      </c>
      <c r="AE358" s="324" t="e">
        <f t="shared" ca="1" si="150"/>
        <v>#N/A</v>
      </c>
      <c r="AG358" s="306">
        <f t="shared" ca="1" si="172"/>
        <v>6.8997715746831858</v>
      </c>
      <c r="AH358" s="304">
        <f t="shared" ca="1" si="173"/>
        <v>-2.1160609856419685</v>
      </c>
    </row>
    <row r="359" spans="1:34" x14ac:dyDescent="0.2">
      <c r="A359" s="347">
        <f t="shared" ca="1" si="151"/>
        <v>0.1</v>
      </c>
      <c r="B359" s="304">
        <f t="shared" ca="1" si="152"/>
        <v>22.100000000000009</v>
      </c>
      <c r="D359" s="306">
        <f t="shared" ca="1" si="153"/>
        <v>-0.8419049797741035</v>
      </c>
      <c r="E359" s="307">
        <f t="shared" ca="1" si="154"/>
        <v>-7.8076132504252449</v>
      </c>
      <c r="F359" s="304">
        <f t="shared" ca="1" si="155"/>
        <v>7.8528739110713026</v>
      </c>
      <c r="G359" s="306">
        <f t="shared" ca="1" si="156"/>
        <v>20.922335687155641</v>
      </c>
      <c r="H359" s="307">
        <f t="shared" ca="1" si="157"/>
        <v>-50.742681848415344</v>
      </c>
      <c r="I359" s="304">
        <f t="shared" ca="1" si="158"/>
        <v>54.886828035290272</v>
      </c>
      <c r="J359" s="306">
        <f t="shared" ca="1" si="159"/>
        <v>633.80463174046156</v>
      </c>
      <c r="K359" s="307">
        <f t="shared" ca="1" si="160"/>
        <v>1291.1684837525172</v>
      </c>
      <c r="L359" s="304">
        <f t="shared" ca="1" si="145"/>
        <v>1438.3408374413334</v>
      </c>
      <c r="M359" s="306">
        <f t="shared" ca="1" si="161"/>
        <v>-1.1797126778913574</v>
      </c>
      <c r="N359" s="304">
        <f t="shared" ca="1" si="162"/>
        <v>-67.59255748125112</v>
      </c>
      <c r="P359" s="310">
        <f t="shared" ca="1" si="163"/>
        <v>23</v>
      </c>
      <c r="Q359" s="304">
        <f t="shared" ca="1" si="164"/>
        <v>0</v>
      </c>
      <c r="R359" s="306">
        <f t="shared" ca="1" si="165"/>
        <v>0</v>
      </c>
      <c r="S359" s="307">
        <f t="shared" ca="1" si="166"/>
        <v>2.9792999999999985</v>
      </c>
      <c r="T359" s="304">
        <f t="shared" ca="1" si="146"/>
        <v>29.226932999999988</v>
      </c>
      <c r="U359" s="311">
        <f t="shared" ca="1" si="147"/>
        <v>0</v>
      </c>
      <c r="V359" s="306">
        <f t="shared" ca="1" si="148"/>
        <v>1.0764237117794802</v>
      </c>
      <c r="W359" s="304">
        <f t="shared" ca="1" si="149"/>
        <v>6.6403717268278371</v>
      </c>
      <c r="Y359" s="314" t="str">
        <f t="shared" ca="1" si="167"/>
        <v/>
      </c>
      <c r="Z359" s="315" t="str">
        <f t="shared" ca="1" si="168"/>
        <v/>
      </c>
      <c r="AA359" s="316" t="str">
        <f t="shared" ca="1" si="169"/>
        <v/>
      </c>
      <c r="AC359" s="310" t="e">
        <f t="shared" ca="1" si="170"/>
        <v>#N/A</v>
      </c>
      <c r="AD359" s="323" t="e">
        <f t="shared" ca="1" si="171"/>
        <v>#N/A</v>
      </c>
      <c r="AE359" s="324" t="e">
        <f t="shared" ca="1" si="150"/>
        <v>#N/A</v>
      </c>
      <c r="AG359" s="306">
        <f t="shared" ca="1" si="172"/>
        <v>6.8710106773360611</v>
      </c>
      <c r="AH359" s="304">
        <f t="shared" ca="1" si="173"/>
        <v>-2.1721778679106802</v>
      </c>
    </row>
    <row r="360" spans="1:34" x14ac:dyDescent="0.2">
      <c r="A360" s="347">
        <f t="shared" ca="1" si="151"/>
        <v>0.1</v>
      </c>
      <c r="B360" s="304">
        <f t="shared" ca="1" si="152"/>
        <v>22.20000000000001</v>
      </c>
      <c r="D360" s="306">
        <f t="shared" ca="1" si="153"/>
        <v>-0.84961111966777292</v>
      </c>
      <c r="E360" s="307">
        <f t="shared" ca="1" si="154"/>
        <v>-7.7494486645846052</v>
      </c>
      <c r="F360" s="304">
        <f t="shared" ca="1" si="155"/>
        <v>7.7958831225009559</v>
      </c>
      <c r="G360" s="306">
        <f t="shared" ca="1" si="156"/>
        <v>20.837374575188864</v>
      </c>
      <c r="H360" s="307">
        <f t="shared" ca="1" si="157"/>
        <v>-51.517626714873806</v>
      </c>
      <c r="I360" s="304">
        <f t="shared" ca="1" si="158"/>
        <v>55.572133677948756</v>
      </c>
      <c r="J360" s="306">
        <f t="shared" ca="1" si="159"/>
        <v>635.89261725357881</v>
      </c>
      <c r="K360" s="307">
        <f t="shared" ca="1" si="160"/>
        <v>1286.0554683243527</v>
      </c>
      <c r="L360" s="304">
        <f t="shared" ca="1" si="145"/>
        <v>1434.6769978934549</v>
      </c>
      <c r="M360" s="306">
        <f t="shared" ca="1" si="161"/>
        <v>-1.1864417819740585</v>
      </c>
      <c r="N360" s="304">
        <f t="shared" ca="1" si="162"/>
        <v>-67.978106745094138</v>
      </c>
      <c r="P360" s="310">
        <f t="shared" ca="1" si="163"/>
        <v>23</v>
      </c>
      <c r="Q360" s="304">
        <f t="shared" ca="1" si="164"/>
        <v>0</v>
      </c>
      <c r="R360" s="306">
        <f t="shared" ca="1" si="165"/>
        <v>0</v>
      </c>
      <c r="S360" s="307">
        <f t="shared" ca="1" si="166"/>
        <v>2.9792999999999985</v>
      </c>
      <c r="T360" s="304">
        <f t="shared" ca="1" si="146"/>
        <v>29.226932999999988</v>
      </c>
      <c r="U360" s="311">
        <f t="shared" ca="1" si="147"/>
        <v>0</v>
      </c>
      <c r="V360" s="306">
        <f t="shared" ca="1" si="148"/>
        <v>1.0769765250972214</v>
      </c>
      <c r="W360" s="304">
        <f t="shared" ca="1" si="149"/>
        <v>6.8107235107959569</v>
      </c>
      <c r="Y360" s="314" t="str">
        <f t="shared" ca="1" si="167"/>
        <v/>
      </c>
      <c r="Z360" s="315" t="str">
        <f t="shared" ca="1" si="168"/>
        <v/>
      </c>
      <c r="AA360" s="316" t="str">
        <f t="shared" ca="1" si="169"/>
        <v/>
      </c>
      <c r="AC360" s="310" t="e">
        <f t="shared" ca="1" si="170"/>
        <v>#N/A</v>
      </c>
      <c r="AD360" s="323" t="e">
        <f t="shared" ca="1" si="171"/>
        <v>#N/A</v>
      </c>
      <c r="AE360" s="324" t="e">
        <f t="shared" ca="1" si="150"/>
        <v>#N/A</v>
      </c>
      <c r="AG360" s="306">
        <f t="shared" ca="1" si="172"/>
        <v>6.8404747091052922</v>
      </c>
      <c r="AH360" s="304">
        <f t="shared" ca="1" si="173"/>
        <v>-2.2288362121397109</v>
      </c>
    </row>
    <row r="361" spans="1:34" x14ac:dyDescent="0.2">
      <c r="A361" s="347">
        <f t="shared" ca="1" si="151"/>
        <v>0.1</v>
      </c>
      <c r="B361" s="304">
        <f t="shared" ca="1" si="152"/>
        <v>22.300000000000011</v>
      </c>
      <c r="D361" s="306">
        <f t="shared" ca="1" si="153"/>
        <v>-0.85716600824518085</v>
      </c>
      <c r="E361" s="307">
        <f t="shared" ca="1" si="154"/>
        <v>-7.6907714817377171</v>
      </c>
      <c r="F361" s="304">
        <f t="shared" ca="1" si="155"/>
        <v>7.7383912766156469</v>
      </c>
      <c r="G361" s="306">
        <f t="shared" ca="1" si="156"/>
        <v>20.751657974364345</v>
      </c>
      <c r="H361" s="307">
        <f t="shared" ca="1" si="157"/>
        <v>-52.286703863047578</v>
      </c>
      <c r="I361" s="304">
        <f t="shared" ca="1" si="158"/>
        <v>56.254161708686347</v>
      </c>
      <c r="J361" s="306">
        <f t="shared" ca="1" si="159"/>
        <v>637.97206888105643</v>
      </c>
      <c r="K361" s="307">
        <f t="shared" ca="1" si="160"/>
        <v>1280.8652517954565</v>
      </c>
      <c r="L361" s="304">
        <f t="shared" ca="1" si="145"/>
        <v>1430.9521843616626</v>
      </c>
      <c r="M361" s="306">
        <f t="shared" ca="1" si="161"/>
        <v>-1.1929806620431773</v>
      </c>
      <c r="N361" s="304">
        <f t="shared" ca="1" si="162"/>
        <v>-68.352756975796865</v>
      </c>
      <c r="P361" s="310">
        <f t="shared" ca="1" si="163"/>
        <v>23</v>
      </c>
      <c r="Q361" s="304">
        <f t="shared" ca="1" si="164"/>
        <v>0</v>
      </c>
      <c r="R361" s="306">
        <f t="shared" ca="1" si="165"/>
        <v>0</v>
      </c>
      <c r="S361" s="307">
        <f t="shared" ca="1" si="166"/>
        <v>2.9792999999999985</v>
      </c>
      <c r="T361" s="304">
        <f t="shared" ca="1" si="146"/>
        <v>29.226932999999988</v>
      </c>
      <c r="U361" s="311">
        <f t="shared" ca="1" si="147"/>
        <v>0</v>
      </c>
      <c r="V361" s="306">
        <f t="shared" ca="1" si="148"/>
        <v>1.0775379569971146</v>
      </c>
      <c r="W361" s="304">
        <f t="shared" ca="1" si="149"/>
        <v>6.9825613695738573</v>
      </c>
      <c r="Y361" s="314" t="str">
        <f t="shared" ca="1" si="167"/>
        <v/>
      </c>
      <c r="Z361" s="315" t="str">
        <f t="shared" ca="1" si="168"/>
        <v/>
      </c>
      <c r="AA361" s="316" t="str">
        <f t="shared" ca="1" si="169"/>
        <v/>
      </c>
      <c r="AC361" s="310" t="e">
        <f t="shared" ca="1" si="170"/>
        <v>#N/A</v>
      </c>
      <c r="AD361" s="323" t="e">
        <f t="shared" ca="1" si="171"/>
        <v>#N/A</v>
      </c>
      <c r="AE361" s="324" t="e">
        <f t="shared" ca="1" si="150"/>
        <v>#N/A</v>
      </c>
      <c r="AG361" s="306">
        <f t="shared" ca="1" si="172"/>
        <v>6.8082540676095515</v>
      </c>
      <c r="AH361" s="304">
        <f t="shared" ca="1" si="173"/>
        <v>-2.2860146714986609</v>
      </c>
    </row>
    <row r="362" spans="1:34" x14ac:dyDescent="0.2">
      <c r="A362" s="347">
        <f t="shared" ca="1" si="151"/>
        <v>0.1</v>
      </c>
      <c r="B362" s="304">
        <f t="shared" ca="1" si="152"/>
        <v>22.400000000000013</v>
      </c>
      <c r="D362" s="306">
        <f t="shared" ca="1" si="153"/>
        <v>-0.86456702702431854</v>
      </c>
      <c r="E362" s="307">
        <f t="shared" ca="1" si="154"/>
        <v>-7.6316024874918122</v>
      </c>
      <c r="F362" s="304">
        <f t="shared" ca="1" si="155"/>
        <v>7.6804187822871279</v>
      </c>
      <c r="G362" s="306">
        <f t="shared" ca="1" si="156"/>
        <v>20.665201271661914</v>
      </c>
      <c r="H362" s="307">
        <f t="shared" ca="1" si="157"/>
        <v>-53.049864111796758</v>
      </c>
      <c r="I362" s="304">
        <f t="shared" ca="1" si="158"/>
        <v>56.932755298495778</v>
      </c>
      <c r="J362" s="306">
        <f t="shared" ca="1" si="159"/>
        <v>640.04291184335773</v>
      </c>
      <c r="K362" s="307">
        <f t="shared" ca="1" si="160"/>
        <v>1275.5984233967142</v>
      </c>
      <c r="L362" s="304">
        <f t="shared" ca="1" si="145"/>
        <v>1427.1672175232682</v>
      </c>
      <c r="M362" s="306">
        <f t="shared" ca="1" si="161"/>
        <v>-1.1993370130728351</v>
      </c>
      <c r="N362" s="304">
        <f t="shared" ca="1" si="162"/>
        <v>-68.7169490628999</v>
      </c>
      <c r="P362" s="310">
        <f t="shared" ca="1" si="163"/>
        <v>23</v>
      </c>
      <c r="Q362" s="304">
        <f t="shared" ca="1" si="164"/>
        <v>0</v>
      </c>
      <c r="R362" s="306">
        <f t="shared" ca="1" si="165"/>
        <v>0</v>
      </c>
      <c r="S362" s="307">
        <f t="shared" ca="1" si="166"/>
        <v>2.9792999999999985</v>
      </c>
      <c r="T362" s="304">
        <f t="shared" ca="1" si="146"/>
        <v>29.226932999999988</v>
      </c>
      <c r="U362" s="311">
        <f t="shared" ca="1" si="147"/>
        <v>0</v>
      </c>
      <c r="V362" s="306">
        <f t="shared" ca="1" si="148"/>
        <v>1.0781079561134621</v>
      </c>
      <c r="W362" s="304">
        <f t="shared" ca="1" si="149"/>
        <v>7.1558219340763793</v>
      </c>
      <c r="Y362" s="314" t="str">
        <f t="shared" ca="1" si="167"/>
        <v/>
      </c>
      <c r="Z362" s="315" t="str">
        <f t="shared" ca="1" si="168"/>
        <v/>
      </c>
      <c r="AA362" s="316" t="str">
        <f t="shared" ca="1" si="169"/>
        <v/>
      </c>
      <c r="AC362" s="310" t="e">
        <f t="shared" ca="1" si="170"/>
        <v>#N/A</v>
      </c>
      <c r="AD362" s="323" t="e">
        <f t="shared" ca="1" si="171"/>
        <v>#N/A</v>
      </c>
      <c r="AE362" s="324" t="e">
        <f t="shared" ca="1" si="150"/>
        <v>#N/A</v>
      </c>
      <c r="AG362" s="306">
        <f t="shared" ca="1" si="172"/>
        <v>6.7744346097759891</v>
      </c>
      <c r="AH362" s="304">
        <f t="shared" ca="1" si="173"/>
        <v>-2.3436919308474677</v>
      </c>
    </row>
    <row r="363" spans="1:34" x14ac:dyDescent="0.2">
      <c r="A363" s="347">
        <f t="shared" ca="1" si="151"/>
        <v>0.1</v>
      </c>
      <c r="B363" s="304">
        <f t="shared" ca="1" si="152"/>
        <v>22.500000000000014</v>
      </c>
      <c r="D363" s="306">
        <f t="shared" ca="1" si="153"/>
        <v>-0.8718117653086751</v>
      </c>
      <c r="E363" s="307">
        <f t="shared" ca="1" si="154"/>
        <v>-7.5719624859830148</v>
      </c>
      <c r="F363" s="304">
        <f t="shared" ca="1" si="155"/>
        <v>7.6219860694745893</v>
      </c>
      <c r="G363" s="306">
        <f t="shared" ca="1" si="156"/>
        <v>20.578020095131045</v>
      </c>
      <c r="H363" s="307">
        <f t="shared" ca="1" si="157"/>
        <v>-53.807060360395056</v>
      </c>
      <c r="I363" s="304">
        <f t="shared" ca="1" si="158"/>
        <v>57.60776558470927</v>
      </c>
      <c r="J363" s="306">
        <f t="shared" ca="1" si="159"/>
        <v>642.10507291169733</v>
      </c>
      <c r="K363" s="307">
        <f t="shared" ca="1" si="160"/>
        <v>1270.2555771731047</v>
      </c>
      <c r="L363" s="304">
        <f t="shared" ca="1" si="145"/>
        <v>1423.3229275179663</v>
      </c>
      <c r="M363" s="306">
        <f t="shared" ca="1" si="161"/>
        <v>-1.2055181473669938</v>
      </c>
      <c r="N363" s="304">
        <f t="shared" ca="1" si="162"/>
        <v>-69.071101970558757</v>
      </c>
      <c r="P363" s="310">
        <f t="shared" ca="1" si="163"/>
        <v>23</v>
      </c>
      <c r="Q363" s="304">
        <f t="shared" ca="1" si="164"/>
        <v>0</v>
      </c>
      <c r="R363" s="306">
        <f t="shared" ca="1" si="165"/>
        <v>0</v>
      </c>
      <c r="S363" s="307">
        <f t="shared" ca="1" si="166"/>
        <v>2.9792999999999985</v>
      </c>
      <c r="T363" s="304">
        <f t="shared" ca="1" si="146"/>
        <v>29.226932999999988</v>
      </c>
      <c r="U363" s="311">
        <f t="shared" ca="1" si="147"/>
        <v>0</v>
      </c>
      <c r="V363" s="306">
        <f t="shared" ca="1" si="148"/>
        <v>1.078686470631129</v>
      </c>
      <c r="W363" s="304">
        <f t="shared" ca="1" si="149"/>
        <v>7.3304420103113239</v>
      </c>
      <c r="Y363" s="314" t="str">
        <f t="shared" ca="1" si="167"/>
        <v/>
      </c>
      <c r="Z363" s="315" t="str">
        <f t="shared" ca="1" si="168"/>
        <v/>
      </c>
      <c r="AA363" s="316" t="str">
        <f t="shared" ca="1" si="169"/>
        <v/>
      </c>
      <c r="AC363" s="310" t="e">
        <f t="shared" ca="1" si="170"/>
        <v>#N/A</v>
      </c>
      <c r="AD363" s="323" t="e">
        <f t="shared" ca="1" si="171"/>
        <v>#N/A</v>
      </c>
      <c r="AE363" s="324" t="e">
        <f t="shared" ca="1" si="150"/>
        <v>#N/A</v>
      </c>
      <c r="AG363" s="306">
        <f t="shared" ca="1" si="172"/>
        <v>6.7390979644024398</v>
      </c>
      <c r="AH363" s="304">
        <f t="shared" ca="1" si="173"/>
        <v>-2.4018467203961946</v>
      </c>
    </row>
    <row r="364" spans="1:34" x14ac:dyDescent="0.2">
      <c r="A364" s="347">
        <f t="shared" ca="1" si="151"/>
        <v>0.1</v>
      </c>
      <c r="B364" s="304">
        <f t="shared" ca="1" si="152"/>
        <v>22.600000000000016</v>
      </c>
      <c r="D364" s="306">
        <f t="shared" ca="1" si="153"/>
        <v>-0.87889801204840201</v>
      </c>
      <c r="E364" s="307">
        <f t="shared" ca="1" si="154"/>
        <v>-7.5118722808950373</v>
      </c>
      <c r="F364" s="304">
        <f t="shared" ca="1" si="155"/>
        <v>7.5631135704854939</v>
      </c>
      <c r="G364" s="306">
        <f t="shared" ca="1" si="156"/>
        <v>20.490130293926203</v>
      </c>
      <c r="H364" s="307">
        <f t="shared" ca="1" si="157"/>
        <v>-54.558247588484562</v>
      </c>
      <c r="I364" s="304">
        <f t="shared" ca="1" si="158"/>
        <v>58.279051291081032</v>
      </c>
      <c r="J364" s="306">
        <f t="shared" ca="1" si="159"/>
        <v>644.15848043115022</v>
      </c>
      <c r="K364" s="307">
        <f t="shared" ca="1" si="160"/>
        <v>1264.8373117756607</v>
      </c>
      <c r="L364" s="304">
        <f t="shared" ca="1" si="145"/>
        <v>1419.4201538555274</v>
      </c>
      <c r="M364" s="306">
        <f t="shared" ca="1" si="161"/>
        <v>-1.211531015883629</v>
      </c>
      <c r="N364" s="304">
        <f t="shared" ca="1" si="162"/>
        <v>-69.41561395932905</v>
      </c>
      <c r="P364" s="310">
        <f t="shared" ca="1" si="163"/>
        <v>23</v>
      </c>
      <c r="Q364" s="304">
        <f t="shared" ca="1" si="164"/>
        <v>0</v>
      </c>
      <c r="R364" s="306">
        <f t="shared" ca="1" si="165"/>
        <v>0</v>
      </c>
      <c r="S364" s="307">
        <f t="shared" ca="1" si="166"/>
        <v>2.9792999999999985</v>
      </c>
      <c r="T364" s="304">
        <f t="shared" ca="1" si="146"/>
        <v>29.226932999999988</v>
      </c>
      <c r="U364" s="311">
        <f t="shared" ca="1" si="147"/>
        <v>0</v>
      </c>
      <c r="V364" s="306">
        <f t="shared" ca="1" si="148"/>
        <v>1.0792734483026427</v>
      </c>
      <c r="W364" s="304">
        <f t="shared" ca="1" si="149"/>
        <v>7.5063586186011717</v>
      </c>
      <c r="Y364" s="314" t="str">
        <f t="shared" ca="1" si="167"/>
        <v/>
      </c>
      <c r="Z364" s="315" t="str">
        <f t="shared" ca="1" si="168"/>
        <v/>
      </c>
      <c r="AA364" s="316" t="str">
        <f t="shared" ca="1" si="169"/>
        <v/>
      </c>
      <c r="AC364" s="310" t="e">
        <f t="shared" ca="1" si="170"/>
        <v>#N/A</v>
      </c>
      <c r="AD364" s="323" t="e">
        <f t="shared" ca="1" si="171"/>
        <v>#N/A</v>
      </c>
      <c r="AE364" s="324" t="e">
        <f t="shared" ca="1" si="150"/>
        <v>#N/A</v>
      </c>
      <c r="AG364" s="306">
        <f t="shared" ca="1" si="172"/>
        <v>6.7023218200755643</v>
      </c>
      <c r="AH364" s="304">
        <f t="shared" ca="1" si="173"/>
        <v>-2.4604578291247368</v>
      </c>
    </row>
    <row r="365" spans="1:34" x14ac:dyDescent="0.2">
      <c r="A365" s="347">
        <f t="shared" ca="1" si="151"/>
        <v>0.1</v>
      </c>
      <c r="B365" s="304">
        <f t="shared" ca="1" si="152"/>
        <v>22.700000000000017</v>
      </c>
      <c r="D365" s="306">
        <f t="shared" ca="1" si="153"/>
        <v>-0.88582374814206744</v>
      </c>
      <c r="E365" s="307">
        <f t="shared" ca="1" si="154"/>
        <v>-7.4513526572244277</v>
      </c>
      <c r="F365" s="304">
        <f t="shared" ca="1" si="155"/>
        <v>7.5038217019794651</v>
      </c>
      <c r="G365" s="306">
        <f t="shared" ca="1" si="156"/>
        <v>20.401547919111998</v>
      </c>
      <c r="H365" s="307">
        <f t="shared" ca="1" si="157"/>
        <v>-55.303382854207008</v>
      </c>
      <c r="I365" s="304">
        <f t="shared" ca="1" si="158"/>
        <v>58.946478373307599</v>
      </c>
      <c r="J365" s="306">
        <f t="shared" ca="1" si="159"/>
        <v>646.20306434180213</v>
      </c>
      <c r="K365" s="307">
        <f t="shared" ca="1" si="160"/>
        <v>1259.3442302535261</v>
      </c>
      <c r="L365" s="304">
        <f t="shared" ca="1" si="145"/>
        <v>1415.4597453257304</v>
      </c>
      <c r="M365" s="306">
        <f t="shared" ca="1" si="161"/>
        <v>-1.2173822283449014</v>
      </c>
      <c r="N365" s="304">
        <f t="shared" ca="1" si="162"/>
        <v>-69.750863738394301</v>
      </c>
      <c r="P365" s="310">
        <f t="shared" ca="1" si="163"/>
        <v>23</v>
      </c>
      <c r="Q365" s="304">
        <f t="shared" ca="1" si="164"/>
        <v>0</v>
      </c>
      <c r="R365" s="306">
        <f t="shared" ca="1" si="165"/>
        <v>0</v>
      </c>
      <c r="S365" s="307">
        <f t="shared" ca="1" si="166"/>
        <v>2.9792999999999985</v>
      </c>
      <c r="T365" s="304">
        <f t="shared" ca="1" si="146"/>
        <v>29.226932999999988</v>
      </c>
      <c r="U365" s="311">
        <f t="shared" ca="1" si="147"/>
        <v>0</v>
      </c>
      <c r="V365" s="306">
        <f t="shared" ca="1" si="148"/>
        <v>1.0798688364653126</v>
      </c>
      <c r="W365" s="304">
        <f t="shared" ca="1" si="149"/>
        <v>7.6835090320034602</v>
      </c>
      <c r="Y365" s="314" t="str">
        <f t="shared" ca="1" si="167"/>
        <v/>
      </c>
      <c r="Z365" s="315" t="str">
        <f t="shared" ca="1" si="168"/>
        <v/>
      </c>
      <c r="AA365" s="316" t="str">
        <f t="shared" ca="1" si="169"/>
        <v/>
      </c>
      <c r="AC365" s="310" t="e">
        <f t="shared" ca="1" si="170"/>
        <v>#N/A</v>
      </c>
      <c r="AD365" s="323" t="e">
        <f t="shared" ca="1" si="171"/>
        <v>#N/A</v>
      </c>
      <c r="AE365" s="324" t="e">
        <f t="shared" ca="1" si="150"/>
        <v>#N/A</v>
      </c>
      <c r="AG365" s="306">
        <f t="shared" ca="1" si="172"/>
        <v>6.6641801903270741</v>
      </c>
      <c r="AH365" s="304">
        <f t="shared" ca="1" si="173"/>
        <v>-2.5195041179475632</v>
      </c>
    </row>
    <row r="366" spans="1:34" x14ac:dyDescent="0.2">
      <c r="A366" s="347">
        <f t="shared" ca="1" si="151"/>
        <v>0.1</v>
      </c>
      <c r="B366" s="304">
        <f t="shared" ca="1" si="152"/>
        <v>22.800000000000018</v>
      </c>
      <c r="D366" s="306">
        <f t="shared" ca="1" si="153"/>
        <v>-0.89258713914193966</v>
      </c>
      <c r="E366" s="307">
        <f t="shared" ca="1" si="154"/>
        <v>-7.390424363757953</v>
      </c>
      <c r="F366" s="304">
        <f t="shared" ca="1" si="155"/>
        <v>7.4441308476805226</v>
      </c>
      <c r="G366" s="306">
        <f t="shared" ca="1" si="156"/>
        <v>20.312289205197803</v>
      </c>
      <c r="H366" s="307">
        <f t="shared" ca="1" si="157"/>
        <v>-56.042425290582806</v>
      </c>
      <c r="I366" s="304">
        <f t="shared" ca="1" si="158"/>
        <v>59.609919687969303</v>
      </c>
      <c r="J366" s="306">
        <f t="shared" ca="1" si="159"/>
        <v>648.23875619801765</v>
      </c>
      <c r="K366" s="307">
        <f t="shared" ca="1" si="160"/>
        <v>1253.7769398462867</v>
      </c>
      <c r="L366" s="304">
        <f t="shared" ca="1" si="145"/>
        <v>1411.4425599107717</v>
      </c>
      <c r="M366" s="306">
        <f t="shared" ca="1" si="161"/>
        <v>-1.2230780721912187</v>
      </c>
      <c r="N366" s="304">
        <f t="shared" ca="1" si="162"/>
        <v>-70.077211551553845</v>
      </c>
      <c r="P366" s="310">
        <f t="shared" ca="1" si="163"/>
        <v>23</v>
      </c>
      <c r="Q366" s="304">
        <f t="shared" ca="1" si="164"/>
        <v>0</v>
      </c>
      <c r="R366" s="306">
        <f t="shared" ca="1" si="165"/>
        <v>0</v>
      </c>
      <c r="S366" s="307">
        <f t="shared" ca="1" si="166"/>
        <v>2.9792999999999985</v>
      </c>
      <c r="T366" s="304">
        <f t="shared" ca="1" si="146"/>
        <v>29.226932999999988</v>
      </c>
      <c r="U366" s="311">
        <f t="shared" ca="1" si="147"/>
        <v>0</v>
      </c>
      <c r="V366" s="306">
        <f t="shared" ca="1" si="148"/>
        <v>1.0804725820583672</v>
      </c>
      <c r="W366" s="304">
        <f t="shared" ca="1" si="149"/>
        <v>7.861830813891407</v>
      </c>
      <c r="Y366" s="314" t="str">
        <f t="shared" ca="1" si="167"/>
        <v/>
      </c>
      <c r="Z366" s="315" t="str">
        <f t="shared" ca="1" si="168"/>
        <v/>
      </c>
      <c r="AA366" s="316" t="str">
        <f t="shared" ca="1" si="169"/>
        <v/>
      </c>
      <c r="AC366" s="310" t="e">
        <f t="shared" ca="1" si="170"/>
        <v>#N/A</v>
      </c>
      <c r="AD366" s="323" t="e">
        <f t="shared" ca="1" si="171"/>
        <v>#N/A</v>
      </c>
      <c r="AE366" s="324" t="e">
        <f t="shared" ca="1" si="150"/>
        <v>#N/A</v>
      </c>
      <c r="AG366" s="306">
        <f t="shared" ca="1" si="172"/>
        <v>6.624743657792596</v>
      </c>
      <c r="AH366" s="304">
        <f t="shared" ca="1" si="173"/>
        <v>-2.5789645326094934</v>
      </c>
    </row>
    <row r="367" spans="1:34" x14ac:dyDescent="0.2">
      <c r="A367" s="347">
        <f t="shared" ca="1" si="151"/>
        <v>0.1</v>
      </c>
      <c r="B367" s="304">
        <f t="shared" ca="1" si="152"/>
        <v>22.90000000000002</v>
      </c>
      <c r="D367" s="306">
        <f t="shared" ca="1" si="153"/>
        <v>-0.89918652832895352</v>
      </c>
      <c r="E367" s="307">
        <f t="shared" ca="1" si="154"/>
        <v>-7.3291080962317778</v>
      </c>
      <c r="F367" s="304">
        <f t="shared" ca="1" si="155"/>
        <v>7.3840613417670404</v>
      </c>
      <c r="G367" s="306">
        <f t="shared" ca="1" si="156"/>
        <v>20.222370552364907</v>
      </c>
      <c r="H367" s="307">
        <f t="shared" ca="1" si="157"/>
        <v>-56.775336100205983</v>
      </c>
      <c r="I367" s="304">
        <f t="shared" ca="1" si="158"/>
        <v>60.269254683034767</v>
      </c>
      <c r="J367" s="306">
        <f t="shared" ca="1" si="159"/>
        <v>650.26548918589583</v>
      </c>
      <c r="K367" s="307">
        <f t="shared" ca="1" si="160"/>
        <v>1248.1360517767473</v>
      </c>
      <c r="L367" s="304">
        <f t="shared" ca="1" si="145"/>
        <v>1407.3694647003749</v>
      </c>
      <c r="M367" s="306">
        <f t="shared" ca="1" si="161"/>
        <v>-1.2286245304371166</v>
      </c>
      <c r="N367" s="304">
        <f t="shared" ca="1" si="162"/>
        <v>-70.395000200289331</v>
      </c>
      <c r="P367" s="310">
        <f t="shared" ca="1" si="163"/>
        <v>23</v>
      </c>
      <c r="Q367" s="304">
        <f t="shared" ca="1" si="164"/>
        <v>0</v>
      </c>
      <c r="R367" s="306">
        <f t="shared" ca="1" si="165"/>
        <v>0</v>
      </c>
      <c r="S367" s="307">
        <f t="shared" ca="1" si="166"/>
        <v>2.9792999999999985</v>
      </c>
      <c r="T367" s="304">
        <f t="shared" ca="1" si="146"/>
        <v>29.226932999999988</v>
      </c>
      <c r="U367" s="311">
        <f t="shared" ca="1" si="147"/>
        <v>0</v>
      </c>
      <c r="V367" s="306">
        <f t="shared" ca="1" si="148"/>
        <v>1.0810846316400857</v>
      </c>
      <c r="W367" s="304">
        <f t="shared" ca="1" si="149"/>
        <v>8.0412618546587744</v>
      </c>
      <c r="Y367" s="314" t="str">
        <f t="shared" ca="1" si="167"/>
        <v/>
      </c>
      <c r="Z367" s="315" t="str">
        <f t="shared" ca="1" si="168"/>
        <v/>
      </c>
      <c r="AA367" s="316" t="str">
        <f t="shared" ca="1" si="169"/>
        <v/>
      </c>
      <c r="AC367" s="310" t="e">
        <f t="shared" ca="1" si="170"/>
        <v>#N/A</v>
      </c>
      <c r="AD367" s="323" t="e">
        <f t="shared" ca="1" si="171"/>
        <v>#N/A</v>
      </c>
      <c r="AE367" s="324" t="e">
        <f t="shared" ca="1" si="150"/>
        <v>#N/A</v>
      </c>
      <c r="AG367" s="306">
        <f t="shared" ca="1" si="172"/>
        <v>6.5840795990210106</v>
      </c>
      <c r="AH367" s="304">
        <f t="shared" ca="1" si="173"/>
        <v>-2.6388181162996043</v>
      </c>
    </row>
    <row r="368" spans="1:34" x14ac:dyDescent="0.2">
      <c r="A368" s="347">
        <f t="shared" ca="1" si="151"/>
        <v>0.1</v>
      </c>
      <c r="B368" s="304">
        <f t="shared" ca="1" si="152"/>
        <v>23.000000000000021</v>
      </c>
      <c r="D368" s="306">
        <f t="shared" ca="1" si="153"/>
        <v>-0.9056204301263886</v>
      </c>
      <c r="E368" s="307">
        <f t="shared" ca="1" si="154"/>
        <v>-7.2674244811459126</v>
      </c>
      <c r="F368" s="304">
        <f t="shared" ca="1" si="155"/>
        <v>7.3236334529126479</v>
      </c>
      <c r="G368" s="306">
        <f t="shared" ca="1" si="156"/>
        <v>20.131808509352268</v>
      </c>
      <c r="H368" s="307">
        <f t="shared" ca="1" si="157"/>
        <v>-57.502078548320576</v>
      </c>
      <c r="I368" s="304">
        <f t="shared" ca="1" si="158"/>
        <v>60.924369108218571</v>
      </c>
      <c r="J368" s="306">
        <f t="shared" ca="1" si="159"/>
        <v>652.28319813898167</v>
      </c>
      <c r="K368" s="307">
        <f t="shared" ca="1" si="160"/>
        <v>1242.422181044321</v>
      </c>
      <c r="L368" s="304">
        <f t="shared" ca="1" si="145"/>
        <v>1403.2413358098261</v>
      </c>
      <c r="M368" s="306">
        <f t="shared" ca="1" si="161"/>
        <v>-1.234027298486214</v>
      </c>
      <c r="N368" s="304">
        <f t="shared" ca="1" si="162"/>
        <v>-70.704556007190746</v>
      </c>
      <c r="P368" s="310">
        <f t="shared" ca="1" si="163"/>
        <v>23</v>
      </c>
      <c r="Q368" s="304">
        <f t="shared" ca="1" si="164"/>
        <v>0</v>
      </c>
      <c r="R368" s="306">
        <f t="shared" ca="1" si="165"/>
        <v>0</v>
      </c>
      <c r="S368" s="307">
        <f t="shared" ca="1" si="166"/>
        <v>2.9792999999999985</v>
      </c>
      <c r="T368" s="304">
        <f t="shared" ca="1" si="146"/>
        <v>29.226932999999988</v>
      </c>
      <c r="U368" s="311">
        <f t="shared" ca="1" si="147"/>
        <v>0</v>
      </c>
      <c r="V368" s="306">
        <f t="shared" ca="1" si="148"/>
        <v>1.0817049314049112</v>
      </c>
      <c r="W368" s="304">
        <f t="shared" ca="1" si="149"/>
        <v>8.2217404075159788</v>
      </c>
      <c r="Y368" s="314" t="str">
        <f t="shared" ca="1" si="167"/>
        <v/>
      </c>
      <c r="Z368" s="315" t="str">
        <f t="shared" ca="1" si="168"/>
        <v/>
      </c>
      <c r="AA368" s="316" t="str">
        <f t="shared" ca="1" si="169"/>
        <v/>
      </c>
      <c r="AC368" s="310">
        <f t="shared" ca="1" si="170"/>
        <v>23.000000000000021</v>
      </c>
      <c r="AD368" s="323">
        <f t="shared" ca="1" si="171"/>
        <v>652.28319813898167</v>
      </c>
      <c r="AE368" s="324" t="e">
        <f t="shared" ca="1" si="150"/>
        <v>#N/A</v>
      </c>
      <c r="AG368" s="306">
        <f t="shared" ca="1" si="172"/>
        <v>6.5422523914686348</v>
      </c>
      <c r="AH368" s="304">
        <f t="shared" ca="1" si="173"/>
        <v>-2.699044021971194</v>
      </c>
    </row>
    <row r="369" spans="1:34" x14ac:dyDescent="0.2">
      <c r="A369" s="347">
        <f t="shared" ca="1" si="151"/>
        <v>0.1</v>
      </c>
      <c r="B369" s="304">
        <f t="shared" ca="1" si="152"/>
        <v>23.100000000000023</v>
      </c>
      <c r="D369" s="306">
        <f t="shared" ca="1" si="153"/>
        <v>-0.91188752382405736</v>
      </c>
      <c r="E369" s="307">
        <f t="shared" ca="1" si="154"/>
        <v>-7.2053940602104616</v>
      </c>
      <c r="F369" s="304">
        <f t="shared" ca="1" si="155"/>
        <v>7.2628673689543701</v>
      </c>
      <c r="G369" s="306">
        <f t="shared" ca="1" si="156"/>
        <v>20.040619756969864</v>
      </c>
      <c r="H369" s="307">
        <f t="shared" ca="1" si="157"/>
        <v>-58.222617954341622</v>
      </c>
      <c r="I369" s="304">
        <f t="shared" ca="1" si="158"/>
        <v>61.575154743619393</v>
      </c>
      <c r="J369" s="306">
        <f t="shared" ca="1" si="159"/>
        <v>654.29181955229774</v>
      </c>
      <c r="K369" s="307">
        <f t="shared" ca="1" si="160"/>
        <v>1236.6359462191879</v>
      </c>
      <c r="L369" s="304">
        <f t="shared" ca="1" si="145"/>
        <v>1399.0590583011435</v>
      </c>
      <c r="M369" s="306">
        <f t="shared" ca="1" si="161"/>
        <v>-1.2392917999613213</v>
      </c>
      <c r="N369" s="304">
        <f t="shared" ca="1" si="162"/>
        <v>-71.006189722954787</v>
      </c>
      <c r="P369" s="310">
        <f t="shared" ca="1" si="163"/>
        <v>23</v>
      </c>
      <c r="Q369" s="304">
        <f t="shared" ca="1" si="164"/>
        <v>0</v>
      </c>
      <c r="R369" s="306">
        <f t="shared" ca="1" si="165"/>
        <v>0</v>
      </c>
      <c r="S369" s="307">
        <f t="shared" ca="1" si="166"/>
        <v>2.9792999999999985</v>
      </c>
      <c r="T369" s="304">
        <f t="shared" ca="1" si="146"/>
        <v>29.226932999999988</v>
      </c>
      <c r="U369" s="311">
        <f t="shared" ca="1" si="147"/>
        <v>0</v>
      </c>
      <c r="V369" s="306">
        <f t="shared" ca="1" si="148"/>
        <v>1.0823334272005354</v>
      </c>
      <c r="W369" s="304">
        <f t="shared" ca="1" si="149"/>
        <v>8.4032051233470604</v>
      </c>
      <c r="Y369" s="314" t="str">
        <f t="shared" ca="1" si="167"/>
        <v/>
      </c>
      <c r="Z369" s="315" t="str">
        <f t="shared" ca="1" si="168"/>
        <v/>
      </c>
      <c r="AA369" s="316" t="str">
        <f t="shared" ca="1" si="169"/>
        <v/>
      </c>
      <c r="AC369" s="310" t="e">
        <f t="shared" ca="1" si="170"/>
        <v>#N/A</v>
      </c>
      <c r="AD369" s="323" t="e">
        <f t="shared" ca="1" si="171"/>
        <v>#N/A</v>
      </c>
      <c r="AE369" s="324" t="e">
        <f t="shared" ca="1" si="150"/>
        <v>#N/A</v>
      </c>
      <c r="AG369" s="306">
        <f t="shared" ca="1" si="172"/>
        <v>6.4993236041030418</v>
      </c>
      <c r="AH369" s="304">
        <f t="shared" ca="1" si="173"/>
        <v>-2.7596215243567221</v>
      </c>
    </row>
    <row r="370" spans="1:34" x14ac:dyDescent="0.2">
      <c r="A370" s="347">
        <f t="shared" ca="1" si="151"/>
        <v>0.1</v>
      </c>
      <c r="B370" s="304">
        <f t="shared" ca="1" si="152"/>
        <v>23.200000000000024</v>
      </c>
      <c r="D370" s="306">
        <f t="shared" ca="1" si="153"/>
        <v>-0.91798664758727888</v>
      </c>
      <c r="E370" s="307">
        <f t="shared" ca="1" si="154"/>
        <v>-7.1430372754029934</v>
      </c>
      <c r="F370" s="304">
        <f t="shared" ca="1" si="155"/>
        <v>7.2017831821671185</v>
      </c>
      <c r="G370" s="306">
        <f t="shared" ca="1" si="156"/>
        <v>19.948821092211137</v>
      </c>
      <c r="H370" s="307">
        <f t="shared" ca="1" si="157"/>
        <v>-58.93692168188192</v>
      </c>
      <c r="I370" s="304">
        <f t="shared" ca="1" si="158"/>
        <v>62.221509145192961</v>
      </c>
      <c r="J370" s="306">
        <f t="shared" ca="1" si="159"/>
        <v>656.29129159475679</v>
      </c>
      <c r="K370" s="307">
        <f t="shared" ca="1" si="160"/>
        <v>1230.7779692373767</v>
      </c>
      <c r="L370" s="304">
        <f t="shared" ca="1" si="145"/>
        <v>1394.8235261075845</v>
      </c>
      <c r="M370" s="306">
        <f t="shared" ca="1" si="161"/>
        <v>-1.2444232016041958</v>
      </c>
      <c r="N370" s="304">
        <f t="shared" ca="1" si="162"/>
        <v>-71.300197380078004</v>
      </c>
      <c r="P370" s="310">
        <f t="shared" ca="1" si="163"/>
        <v>23</v>
      </c>
      <c r="Q370" s="304">
        <f t="shared" ca="1" si="164"/>
        <v>0</v>
      </c>
      <c r="R370" s="306">
        <f t="shared" ca="1" si="165"/>
        <v>0</v>
      </c>
      <c r="S370" s="307">
        <f t="shared" ca="1" si="166"/>
        <v>2.9792999999999985</v>
      </c>
      <c r="T370" s="304">
        <f t="shared" ca="1" si="146"/>
        <v>29.226932999999988</v>
      </c>
      <c r="U370" s="311">
        <f t="shared" ca="1" si="147"/>
        <v>0</v>
      </c>
      <c r="V370" s="306">
        <f t="shared" ca="1" si="148"/>
        <v>1.0829700645449363</v>
      </c>
      <c r="W370" s="304">
        <f t="shared" ca="1" si="149"/>
        <v>8.5855950845997135</v>
      </c>
      <c r="Y370" s="314" t="str">
        <f t="shared" ca="1" si="167"/>
        <v/>
      </c>
      <c r="Z370" s="315" t="str">
        <f t="shared" ca="1" si="168"/>
        <v/>
      </c>
      <c r="AA370" s="316" t="str">
        <f t="shared" ca="1" si="169"/>
        <v/>
      </c>
      <c r="AC370" s="310" t="e">
        <f t="shared" ca="1" si="170"/>
        <v>#N/A</v>
      </c>
      <c r="AD370" s="323" t="e">
        <f t="shared" ca="1" si="171"/>
        <v>#N/A</v>
      </c>
      <c r="AE370" s="324" t="e">
        <f t="shared" ca="1" si="150"/>
        <v>#N/A</v>
      </c>
      <c r="AG370" s="306">
        <f t="shared" ca="1" si="172"/>
        <v>6.4553521729367098</v>
      </c>
      <c r="AH370" s="304">
        <f t="shared" ca="1" si="173"/>
        <v>-2.8205300316675275</v>
      </c>
    </row>
    <row r="371" spans="1:34" x14ac:dyDescent="0.2">
      <c r="A371" s="347">
        <f t="shared" ca="1" si="151"/>
        <v>0.1</v>
      </c>
      <c r="B371" s="304">
        <f t="shared" ca="1" si="152"/>
        <v>23.300000000000026</v>
      </c>
      <c r="D371" s="306">
        <f t="shared" ca="1" si="153"/>
        <v>-0.92391679272724159</v>
      </c>
      <c r="E371" s="307">
        <f t="shared" ca="1" si="154"/>
        <v>-7.080374454618692</v>
      </c>
      <c r="F371" s="304">
        <f t="shared" ca="1" si="155"/>
        <v>7.1404008751260131</v>
      </c>
      <c r="G371" s="306">
        <f t="shared" ca="1" si="156"/>
        <v>19.856429412938414</v>
      </c>
      <c r="H371" s="307">
        <f t="shared" ca="1" si="157"/>
        <v>-59.644959127343789</v>
      </c>
      <c r="I371" s="304">
        <f t="shared" ca="1" si="158"/>
        <v>62.863335405731668</v>
      </c>
      <c r="J371" s="306">
        <f t="shared" ca="1" si="159"/>
        <v>658.28155412001422</v>
      </c>
      <c r="K371" s="307">
        <f t="shared" ca="1" si="160"/>
        <v>1224.8488751969155</v>
      </c>
      <c r="L371" s="304">
        <f t="shared" ca="1" si="145"/>
        <v>1390.5356419616903</v>
      </c>
      <c r="M371" s="306">
        <f t="shared" ca="1" si="161"/>
        <v>-1.2494264272975741</v>
      </c>
      <c r="N371" s="304">
        <f t="shared" ca="1" si="162"/>
        <v>-71.586861096259994</v>
      </c>
      <c r="P371" s="310">
        <f t="shared" ca="1" si="163"/>
        <v>23</v>
      </c>
      <c r="Q371" s="304">
        <f t="shared" ca="1" si="164"/>
        <v>0</v>
      </c>
      <c r="R371" s="306">
        <f t="shared" ca="1" si="165"/>
        <v>0</v>
      </c>
      <c r="S371" s="307">
        <f t="shared" ca="1" si="166"/>
        <v>2.9792999999999985</v>
      </c>
      <c r="T371" s="304">
        <f t="shared" ca="1" si="146"/>
        <v>29.226932999999988</v>
      </c>
      <c r="U371" s="311">
        <f t="shared" ca="1" si="147"/>
        <v>0</v>
      </c>
      <c r="V371" s="306">
        <f t="shared" ca="1" si="148"/>
        <v>1.0836147886433607</v>
      </c>
      <c r="W371" s="304">
        <f t="shared" ca="1" si="149"/>
        <v>8.7688498381832467</v>
      </c>
      <c r="Y371" s="314" t="str">
        <f t="shared" ca="1" si="167"/>
        <v/>
      </c>
      <c r="Z371" s="315" t="str">
        <f t="shared" ca="1" si="168"/>
        <v/>
      </c>
      <c r="AA371" s="316" t="str">
        <f t="shared" ca="1" si="169"/>
        <v/>
      </c>
      <c r="AC371" s="310" t="e">
        <f t="shared" ca="1" si="170"/>
        <v>#N/A</v>
      </c>
      <c r="AD371" s="323" t="e">
        <f t="shared" ca="1" si="171"/>
        <v>#N/A</v>
      </c>
      <c r="AE371" s="324" t="e">
        <f t="shared" ca="1" si="150"/>
        <v>#N/A</v>
      </c>
      <c r="AG371" s="306">
        <f t="shared" ca="1" si="172"/>
        <v>6.4103945627115841</v>
      </c>
      <c r="AH371" s="304">
        <f t="shared" ca="1" si="173"/>
        <v>-2.8817490969689921</v>
      </c>
    </row>
    <row r="372" spans="1:34" x14ac:dyDescent="0.2">
      <c r="A372" s="347">
        <f t="shared" ca="1" si="151"/>
        <v>0.1</v>
      </c>
      <c r="B372" s="304">
        <f t="shared" ca="1" si="152"/>
        <v>23.400000000000027</v>
      </c>
      <c r="D372" s="306">
        <f t="shared" ca="1" si="153"/>
        <v>-0.92967709821150146</v>
      </c>
      <c r="E372" s="307">
        <f t="shared" ca="1" si="154"/>
        <v>-7.017425797896923</v>
      </c>
      <c r="F372" s="304">
        <f t="shared" ca="1" si="155"/>
        <v>7.0787403071399799</v>
      </c>
      <c r="G372" s="306">
        <f t="shared" ca="1" si="156"/>
        <v>19.763461703117265</v>
      </c>
      <c r="H372" s="307">
        <f t="shared" ca="1" si="157"/>
        <v>-60.346701707133484</v>
      </c>
      <c r="I372" s="304">
        <f t="shared" ca="1" si="158"/>
        <v>63.500541930131035</v>
      </c>
      <c r="J372" s="306">
        <f t="shared" ca="1" si="159"/>
        <v>660.26254867581702</v>
      </c>
      <c r="K372" s="307">
        <f t="shared" ca="1" si="160"/>
        <v>1218.8492921551917</v>
      </c>
      <c r="L372" s="304">
        <f t="shared" ca="1" si="145"/>
        <v>1386.1963173270578</v>
      </c>
      <c r="M372" s="306">
        <f t="shared" ca="1" si="161"/>
        <v>-1.2543061712600649</v>
      </c>
      <c r="N372" s="304">
        <f t="shared" ca="1" si="162"/>
        <v>-71.866449830415149</v>
      </c>
      <c r="P372" s="310">
        <f t="shared" ca="1" si="163"/>
        <v>23</v>
      </c>
      <c r="Q372" s="304">
        <f t="shared" ca="1" si="164"/>
        <v>0</v>
      </c>
      <c r="R372" s="306">
        <f t="shared" ca="1" si="165"/>
        <v>0</v>
      </c>
      <c r="S372" s="307">
        <f t="shared" ca="1" si="166"/>
        <v>2.9792999999999985</v>
      </c>
      <c r="T372" s="304">
        <f t="shared" ca="1" si="146"/>
        <v>29.226932999999988</v>
      </c>
      <c r="U372" s="311">
        <f t="shared" ca="1" si="147"/>
        <v>0</v>
      </c>
      <c r="V372" s="306">
        <f t="shared" ca="1" si="148"/>
        <v>1.0842675444052361</v>
      </c>
      <c r="W372" s="304">
        <f t="shared" ca="1" si="149"/>
        <v>8.9529094273518002</v>
      </c>
      <c r="Y372" s="314" t="str">
        <f t="shared" ca="1" si="167"/>
        <v/>
      </c>
      <c r="Z372" s="315" t="str">
        <f t="shared" ca="1" si="168"/>
        <v/>
      </c>
      <c r="AA372" s="316" t="str">
        <f t="shared" ca="1" si="169"/>
        <v/>
      </c>
      <c r="AC372" s="310" t="e">
        <f t="shared" ca="1" si="170"/>
        <v>#N/A</v>
      </c>
      <c r="AD372" s="323" t="e">
        <f t="shared" ca="1" si="171"/>
        <v>#N/A</v>
      </c>
      <c r="AE372" s="324" t="e">
        <f t="shared" ca="1" si="150"/>
        <v>#N/A</v>
      </c>
      <c r="AG372" s="306">
        <f t="shared" ca="1" si="172"/>
        <v>6.364504915862109</v>
      </c>
      <c r="AH372" s="304">
        <f t="shared" ca="1" si="173"/>
        <v>-2.9432584292227206</v>
      </c>
    </row>
    <row r="373" spans="1:34" x14ac:dyDescent="0.2">
      <c r="A373" s="347">
        <f t="shared" ca="1" si="151"/>
        <v>0.1</v>
      </c>
      <c r="B373" s="304">
        <f t="shared" ca="1" si="152"/>
        <v>23.500000000000028</v>
      </c>
      <c r="D373" s="306">
        <f t="shared" ca="1" si="153"/>
        <v>-0.93526684539528981</v>
      </c>
      <c r="E373" s="307">
        <f t="shared" ca="1" si="154"/>
        <v>-6.9542113642095895</v>
      </c>
      <c r="F373" s="304">
        <f t="shared" ca="1" si="155"/>
        <v>7.016821201241874</v>
      </c>
      <c r="G373" s="306">
        <f t="shared" ca="1" si="156"/>
        <v>19.669935018577736</v>
      </c>
      <c r="H373" s="307">
        <f t="shared" ca="1" si="157"/>
        <v>-61.042122843554445</v>
      </c>
      <c r="I373" s="304">
        <f t="shared" ca="1" si="158"/>
        <v>64.133042223822983</v>
      </c>
      <c r="J373" s="306">
        <f t="shared" ca="1" si="159"/>
        <v>662.23421851190176</v>
      </c>
      <c r="K373" s="307">
        <f t="shared" ca="1" si="160"/>
        <v>1212.7798509276574</v>
      </c>
      <c r="L373" s="304">
        <f t="shared" ca="1" si="145"/>
        <v>1381.8064723340169</v>
      </c>
      <c r="M373" s="306">
        <f t="shared" ca="1" si="161"/>
        <v>-1.2590669104622836</v>
      </c>
      <c r="N373" s="304">
        <f t="shared" ca="1" si="162"/>
        <v>-72.139220094064768</v>
      </c>
      <c r="P373" s="310">
        <f t="shared" ca="1" si="163"/>
        <v>23</v>
      </c>
      <c r="Q373" s="304">
        <f t="shared" ca="1" si="164"/>
        <v>0</v>
      </c>
      <c r="R373" s="306">
        <f t="shared" ca="1" si="165"/>
        <v>0</v>
      </c>
      <c r="S373" s="307">
        <f t="shared" ca="1" si="166"/>
        <v>2.9792999999999985</v>
      </c>
      <c r="T373" s="304">
        <f t="shared" ca="1" si="146"/>
        <v>29.226932999999988</v>
      </c>
      <c r="U373" s="311">
        <f t="shared" ca="1" si="147"/>
        <v>0</v>
      </c>
      <c r="V373" s="306">
        <f t="shared" ca="1" si="148"/>
        <v>1.0849282764610022</v>
      </c>
      <c r="W373" s="304">
        <f t="shared" ca="1" si="149"/>
        <v>9.1377144225525662</v>
      </c>
      <c r="Y373" s="314" t="str">
        <f t="shared" ca="1" si="167"/>
        <v/>
      </c>
      <c r="Z373" s="315" t="str">
        <f t="shared" ca="1" si="168"/>
        <v/>
      </c>
      <c r="AA373" s="316" t="str">
        <f t="shared" ca="1" si="169"/>
        <v/>
      </c>
      <c r="AC373" s="310" t="e">
        <f t="shared" ca="1" si="170"/>
        <v>#N/A</v>
      </c>
      <c r="AD373" s="323" t="e">
        <f t="shared" ca="1" si="171"/>
        <v>#N/A</v>
      </c>
      <c r="AE373" s="324" t="e">
        <f t="shared" ca="1" si="150"/>
        <v>#N/A</v>
      </c>
      <c r="AG373" s="306">
        <f t="shared" ca="1" si="172"/>
        <v>6.3177351897966876</v>
      </c>
      <c r="AH373" s="304">
        <f t="shared" ca="1" si="173"/>
        <v>-3.0050379039881197</v>
      </c>
    </row>
    <row r="374" spans="1:34" x14ac:dyDescent="0.2">
      <c r="A374" s="347">
        <f t="shared" ca="1" si="151"/>
        <v>0.1</v>
      </c>
      <c r="B374" s="304">
        <f t="shared" ca="1" si="152"/>
        <v>23.60000000000003</v>
      </c>
      <c r="D374" s="306">
        <f t="shared" ca="1" si="153"/>
        <v>-0.94068545295614137</v>
      </c>
      <c r="E374" s="307">
        <f t="shared" ca="1" si="154"/>
        <v>-6.8907510587980916</v>
      </c>
      <c r="F374" s="304">
        <f t="shared" ca="1" si="155"/>
        <v>6.9546631317217882</v>
      </c>
      <c r="G374" s="306">
        <f t="shared" ca="1" si="156"/>
        <v>19.575866473282122</v>
      </c>
      <c r="H374" s="307">
        <f t="shared" ca="1" si="157"/>
        <v>-61.731197949434254</v>
      </c>
      <c r="I374" s="304">
        <f t="shared" ca="1" si="158"/>
        <v>64.76075469334809</v>
      </c>
      <c r="J374" s="306">
        <f t="shared" ca="1" si="159"/>
        <v>664.1965085864947</v>
      </c>
      <c r="K374" s="307">
        <f t="shared" ca="1" si="160"/>
        <v>1206.641184888008</v>
      </c>
      <c r="L374" s="304">
        <f t="shared" ca="1" si="145"/>
        <v>1377.3670357193921</v>
      </c>
      <c r="M374" s="306">
        <f t="shared" ca="1" si="161"/>
        <v>-1.2637129163103735</v>
      </c>
      <c r="N374" s="304">
        <f t="shared" ca="1" si="162"/>
        <v>-72.405416620753414</v>
      </c>
      <c r="P374" s="310">
        <f t="shared" ca="1" si="163"/>
        <v>23</v>
      </c>
      <c r="Q374" s="304">
        <f t="shared" ca="1" si="164"/>
        <v>0</v>
      </c>
      <c r="R374" s="306">
        <f t="shared" ca="1" si="165"/>
        <v>0</v>
      </c>
      <c r="S374" s="307">
        <f t="shared" ca="1" si="166"/>
        <v>2.9792999999999985</v>
      </c>
      <c r="T374" s="304">
        <f t="shared" ca="1" si="146"/>
        <v>29.226932999999988</v>
      </c>
      <c r="U374" s="311">
        <f t="shared" ca="1" si="147"/>
        <v>0</v>
      </c>
      <c r="V374" s="306">
        <f t="shared" ca="1" si="148"/>
        <v>1.0855969291788519</v>
      </c>
      <c r="W374" s="304">
        <f t="shared" ca="1" si="149"/>
        <v>9.3232059512213166</v>
      </c>
      <c r="Y374" s="314" t="str">
        <f t="shared" ca="1" si="167"/>
        <v/>
      </c>
      <c r="Z374" s="315" t="str">
        <f t="shared" ca="1" si="168"/>
        <v/>
      </c>
      <c r="AA374" s="316" t="str">
        <f t="shared" ca="1" si="169"/>
        <v/>
      </c>
      <c r="AC374" s="310" t="e">
        <f t="shared" ca="1" si="170"/>
        <v>#N/A</v>
      </c>
      <c r="AD374" s="323" t="e">
        <f t="shared" ca="1" si="171"/>
        <v>#N/A</v>
      </c>
      <c r="AE374" s="324" t="e">
        <f t="shared" ca="1" si="150"/>
        <v>#N/A</v>
      </c>
      <c r="AG374" s="306">
        <f t="shared" ca="1" si="172"/>
        <v>6.2701352834555539</v>
      </c>
      <c r="AH374" s="304">
        <f t="shared" ca="1" si="173"/>
        <v>-3.067067573776582</v>
      </c>
    </row>
    <row r="375" spans="1:34" x14ac:dyDescent="0.2">
      <c r="A375" s="347">
        <f t="shared" ca="1" si="151"/>
        <v>0.1</v>
      </c>
      <c r="B375" s="304">
        <f t="shared" ca="1" si="152"/>
        <v>23.700000000000031</v>
      </c>
      <c r="D375" s="306">
        <f t="shared" ca="1" si="153"/>
        <v>-0.9459324720159682</v>
      </c>
      <c r="E375" s="307">
        <f t="shared" ca="1" si="154"/>
        <v>-6.8270646210468833</v>
      </c>
      <c r="F375" s="304">
        <f t="shared" ca="1" si="155"/>
        <v>6.8922855121914575</v>
      </c>
      <c r="G375" s="306">
        <f t="shared" ca="1" si="156"/>
        <v>19.481273226080525</v>
      </c>
      <c r="H375" s="307">
        <f t="shared" ca="1" si="157"/>
        <v>-62.413904411538944</v>
      </c>
      <c r="I375" s="304">
        <f t="shared" ca="1" si="158"/>
        <v>65.38360245812342</v>
      </c>
      <c r="J375" s="306">
        <f t="shared" ca="1" si="159"/>
        <v>666.14936557146279</v>
      </c>
      <c r="K375" s="307">
        <f t="shared" ca="1" si="160"/>
        <v>1200.4339297699594</v>
      </c>
      <c r="L375" s="304">
        <f t="shared" ca="1" si="145"/>
        <v>1372.8789447705178</v>
      </c>
      <c r="M375" s="306">
        <f t="shared" ca="1" si="161"/>
        <v>-1.268248265640759</v>
      </c>
      <c r="N375" s="304">
        <f t="shared" ca="1" si="162"/>
        <v>-72.665272996001988</v>
      </c>
      <c r="P375" s="310">
        <f t="shared" ca="1" si="163"/>
        <v>23</v>
      </c>
      <c r="Q375" s="304">
        <f t="shared" ca="1" si="164"/>
        <v>0</v>
      </c>
      <c r="R375" s="306">
        <f t="shared" ca="1" si="165"/>
        <v>0</v>
      </c>
      <c r="S375" s="307">
        <f t="shared" ca="1" si="166"/>
        <v>2.9792999999999985</v>
      </c>
      <c r="T375" s="304">
        <f t="shared" ca="1" si="146"/>
        <v>29.226932999999988</v>
      </c>
      <c r="U375" s="311">
        <f t="shared" ca="1" si="147"/>
        <v>0</v>
      </c>
      <c r="V375" s="306">
        <f t="shared" ca="1" si="148"/>
        <v>1.0862734466813666</v>
      </c>
      <c r="W375" s="304">
        <f t="shared" ca="1" si="149"/>
        <v>9.509325726509644</v>
      </c>
      <c r="Y375" s="314" t="str">
        <f t="shared" ca="1" si="167"/>
        <v/>
      </c>
      <c r="Z375" s="315" t="str">
        <f t="shared" ca="1" si="168"/>
        <v/>
      </c>
      <c r="AA375" s="316" t="str">
        <f t="shared" ca="1" si="169"/>
        <v/>
      </c>
      <c r="AC375" s="310" t="e">
        <f t="shared" ca="1" si="170"/>
        <v>#N/A</v>
      </c>
      <c r="AD375" s="323" t="e">
        <f t="shared" ca="1" si="171"/>
        <v>#N/A</v>
      </c>
      <c r="AE375" s="324" t="e">
        <f t="shared" ca="1" si="150"/>
        <v>#N/A</v>
      </c>
      <c r="AG375" s="306">
        <f t="shared" ca="1" si="172"/>
        <v>6.2217531540268602</v>
      </c>
      <c r="AH375" s="304">
        <f t="shared" ca="1" si="173"/>
        <v>-3.1293276780523347</v>
      </c>
    </row>
    <row r="376" spans="1:34" x14ac:dyDescent="0.2">
      <c r="A376" s="347">
        <f t="shared" ca="1" si="151"/>
        <v>0.1</v>
      </c>
      <c r="B376" s="304">
        <f t="shared" ca="1" si="152"/>
        <v>23.800000000000033</v>
      </c>
      <c r="D376" s="306">
        <f t="shared" ca="1" si="153"/>
        <v>-0.95100758143623365</v>
      </c>
      <c r="E376" s="307">
        <f t="shared" ca="1" si="154"/>
        <v>-6.7631716128827222</v>
      </c>
      <c r="F376" s="304">
        <f t="shared" ca="1" si="155"/>
        <v>6.8297075841687302</v>
      </c>
      <c r="G376" s="306">
        <f t="shared" ca="1" si="156"/>
        <v>19.386172467936902</v>
      </c>
      <c r="H376" s="307">
        <f t="shared" ca="1" si="157"/>
        <v>-63.090221572827218</v>
      </c>
      <c r="I376" s="304">
        <f t="shared" ca="1" si="158"/>
        <v>66.001513172540427</v>
      </c>
      <c r="J376" s="306">
        <f t="shared" ca="1" si="159"/>
        <v>668.09273785616369</v>
      </c>
      <c r="K376" s="307">
        <f t="shared" ca="1" si="160"/>
        <v>1194.1587234707411</v>
      </c>
      <c r="L376" s="304">
        <f t="shared" ca="1" si="145"/>
        <v>1368.3431452736606</v>
      </c>
      <c r="M376" s="306">
        <f t="shared" ca="1" si="161"/>
        <v>-1.272676851067712</v>
      </c>
      <c r="N376" s="304">
        <f t="shared" ca="1" si="162"/>
        <v>-72.919012250179534</v>
      </c>
      <c r="P376" s="310">
        <f t="shared" ca="1" si="163"/>
        <v>23</v>
      </c>
      <c r="Q376" s="304">
        <f t="shared" ca="1" si="164"/>
        <v>0</v>
      </c>
      <c r="R376" s="306">
        <f t="shared" ca="1" si="165"/>
        <v>0</v>
      </c>
      <c r="S376" s="307">
        <f t="shared" ca="1" si="166"/>
        <v>2.9792999999999985</v>
      </c>
      <c r="T376" s="304">
        <f t="shared" ca="1" si="146"/>
        <v>29.226932999999988</v>
      </c>
      <c r="U376" s="311">
        <f t="shared" ca="1" si="147"/>
        <v>0</v>
      </c>
      <c r="V376" s="306">
        <f t="shared" ca="1" si="148"/>
        <v>1.0869577728620405</v>
      </c>
      <c r="W376" s="304">
        <f t="shared" ca="1" si="149"/>
        <v>9.6960160749308333</v>
      </c>
      <c r="Y376" s="314" t="str">
        <f t="shared" ca="1" si="167"/>
        <v/>
      </c>
      <c r="Z376" s="315" t="str">
        <f t="shared" ca="1" si="168"/>
        <v/>
      </c>
      <c r="AA376" s="316" t="str">
        <f t="shared" ca="1" si="169"/>
        <v/>
      </c>
      <c r="AC376" s="310" t="e">
        <f t="shared" ca="1" si="170"/>
        <v>#N/A</v>
      </c>
      <c r="AD376" s="323" t="e">
        <f t="shared" ca="1" si="171"/>
        <v>#N/A</v>
      </c>
      <c r="AE376" s="324" t="e">
        <f t="shared" ca="1" si="150"/>
        <v>#N/A</v>
      </c>
      <c r="AG376" s="306">
        <f t="shared" ca="1" si="172"/>
        <v>6.1726349246319288</v>
      </c>
      <c r="AH376" s="304">
        <f t="shared" ca="1" si="173"/>
        <v>-3.1917986528747186</v>
      </c>
    </row>
    <row r="377" spans="1:34" x14ac:dyDescent="0.2">
      <c r="A377" s="347">
        <f t="shared" ca="1" si="151"/>
        <v>0.1</v>
      </c>
      <c r="B377" s="304">
        <f t="shared" ca="1" si="152"/>
        <v>23.900000000000034</v>
      </c>
      <c r="D377" s="306">
        <f t="shared" ca="1" si="153"/>
        <v>-0.95591058327324152</v>
      </c>
      <c r="E377" s="307">
        <f t="shared" ca="1" si="154"/>
        <v>-6.6990914076894406</v>
      </c>
      <c r="F377" s="304">
        <f t="shared" ca="1" si="155"/>
        <v>6.7669484061718892</v>
      </c>
      <c r="G377" s="306">
        <f t="shared" ca="1" si="156"/>
        <v>19.290581409609576</v>
      </c>
      <c r="H377" s="307">
        <f t="shared" ca="1" si="157"/>
        <v>-63.760130713596162</v>
      </c>
      <c r="I377" s="304">
        <f t="shared" ca="1" si="158"/>
        <v>66.614418857599006</v>
      </c>
      <c r="J377" s="306">
        <f t="shared" ca="1" si="159"/>
        <v>670.026575550041</v>
      </c>
      <c r="K377" s="307">
        <f t="shared" ca="1" si="160"/>
        <v>1187.8162058564199</v>
      </c>
      <c r="L377" s="304">
        <f t="shared" ca="1" si="145"/>
        <v>1363.7605914670123</v>
      </c>
      <c r="M377" s="306">
        <f t="shared" ca="1" si="161"/>
        <v>-1.2770023907230601</v>
      </c>
      <c r="N377" s="304">
        <f t="shared" ca="1" si="162"/>
        <v>-73.166847416547455</v>
      </c>
      <c r="P377" s="310">
        <f t="shared" ca="1" si="163"/>
        <v>23</v>
      </c>
      <c r="Q377" s="304">
        <f t="shared" ca="1" si="164"/>
        <v>0</v>
      </c>
      <c r="R377" s="306">
        <f t="shared" ca="1" si="165"/>
        <v>0</v>
      </c>
      <c r="S377" s="307">
        <f t="shared" ca="1" si="166"/>
        <v>2.9792999999999985</v>
      </c>
      <c r="T377" s="304">
        <f t="shared" ca="1" si="146"/>
        <v>29.226932999999988</v>
      </c>
      <c r="U377" s="311">
        <f t="shared" ca="1" si="147"/>
        <v>0</v>
      </c>
      <c r="V377" s="306">
        <f t="shared" ca="1" si="148"/>
        <v>1.0876498514016821</v>
      </c>
      <c r="W377" s="304">
        <f t="shared" ca="1" si="149"/>
        <v>9.8832199629133903</v>
      </c>
      <c r="Y377" s="314" t="str">
        <f t="shared" ca="1" si="167"/>
        <v/>
      </c>
      <c r="Z377" s="315" t="str">
        <f t="shared" ca="1" si="168"/>
        <v/>
      </c>
      <c r="AA377" s="316" t="str">
        <f t="shared" ca="1" si="169"/>
        <v/>
      </c>
      <c r="AC377" s="310" t="e">
        <f t="shared" ca="1" si="170"/>
        <v>#N/A</v>
      </c>
      <c r="AD377" s="323" t="e">
        <f t="shared" ca="1" si="171"/>
        <v>#N/A</v>
      </c>
      <c r="AE377" s="324" t="e">
        <f t="shared" ca="1" si="150"/>
        <v>#N/A</v>
      </c>
      <c r="AG377" s="306">
        <f t="shared" ca="1" si="172"/>
        <v>6.1228249837250512</v>
      </c>
      <c r="AH377" s="304">
        <f t="shared" ca="1" si="173"/>
        <v>-3.2544611401775043</v>
      </c>
    </row>
    <row r="378" spans="1:34" x14ac:dyDescent="0.2">
      <c r="A378" s="347">
        <f t="shared" ca="1" si="151"/>
        <v>0.1</v>
      </c>
      <c r="B378" s="304">
        <f t="shared" ca="1" si="152"/>
        <v>24.000000000000036</v>
      </c>
      <c r="D378" s="306">
        <f t="shared" ca="1" si="153"/>
        <v>-0.96064139838184259</v>
      </c>
      <c r="E378" s="307">
        <f t="shared" ca="1" si="154"/>
        <v>-6.6348431797288292</v>
      </c>
      <c r="F378" s="304">
        <f t="shared" ca="1" si="155"/>
        <v>6.7040268433143364</v>
      </c>
      <c r="G378" s="306">
        <f t="shared" ca="1" si="156"/>
        <v>19.194517269771392</v>
      </c>
      <c r="H378" s="307">
        <f t="shared" ca="1" si="157"/>
        <v>-64.423615031569042</v>
      </c>
      <c r="I378" s="304">
        <f t="shared" ca="1" si="158"/>
        <v>67.222255741349244</v>
      </c>
      <c r="J378" s="306">
        <f t="shared" ca="1" si="159"/>
        <v>671.95083048401</v>
      </c>
      <c r="K378" s="307">
        <f t="shared" ca="1" si="160"/>
        <v>1181.4070185691617</v>
      </c>
      <c r="L378" s="304">
        <f t="shared" ca="1" si="145"/>
        <v>1359.1322459983894</v>
      </c>
      <c r="M378" s="306">
        <f t="shared" ca="1" si="161"/>
        <v>-1.2812284374251779</v>
      </c>
      <c r="N378" s="304">
        <f t="shared" ca="1" si="162"/>
        <v>-73.408982056603989</v>
      </c>
      <c r="P378" s="310">
        <f t="shared" ca="1" si="163"/>
        <v>23</v>
      </c>
      <c r="Q378" s="304">
        <f t="shared" ca="1" si="164"/>
        <v>0</v>
      </c>
      <c r="R378" s="306">
        <f t="shared" ca="1" si="165"/>
        <v>0</v>
      </c>
      <c r="S378" s="307">
        <f t="shared" ca="1" si="166"/>
        <v>2.9792999999999985</v>
      </c>
      <c r="T378" s="304">
        <f t="shared" ca="1" si="146"/>
        <v>29.226932999999988</v>
      </c>
      <c r="U378" s="311">
        <f t="shared" ca="1" si="147"/>
        <v>0</v>
      </c>
      <c r="V378" s="306">
        <f t="shared" ca="1" si="148"/>
        <v>1.0883496257846819</v>
      </c>
      <c r="W378" s="304">
        <f t="shared" ca="1" si="149"/>
        <v>10.07088102225336</v>
      </c>
      <c r="Y378" s="314" t="str">
        <f t="shared" ca="1" si="167"/>
        <v/>
      </c>
      <c r="Z378" s="315" t="str">
        <f t="shared" ca="1" si="168"/>
        <v/>
      </c>
      <c r="AA378" s="316" t="str">
        <f t="shared" ca="1" si="169"/>
        <v/>
      </c>
      <c r="AC378" s="310">
        <f t="shared" ca="1" si="170"/>
        <v>24.000000000000036</v>
      </c>
      <c r="AD378" s="323">
        <f t="shared" ca="1" si="171"/>
        <v>671.95083048401</v>
      </c>
      <c r="AE378" s="324" t="e">
        <f t="shared" ca="1" si="150"/>
        <v>#N/A</v>
      </c>
      <c r="AG378" s="306">
        <f t="shared" ca="1" si="172"/>
        <v>6.072366076892556</v>
      </c>
      <c r="AH378" s="304">
        <f t="shared" ca="1" si="173"/>
        <v>-3.317295996681568</v>
      </c>
    </row>
    <row r="379" spans="1:34" x14ac:dyDescent="0.2">
      <c r="A379" s="347">
        <f t="shared" ca="1" si="151"/>
        <v>0.1</v>
      </c>
      <c r="B379" s="304">
        <f t="shared" ca="1" si="152"/>
        <v>24.100000000000037</v>
      </c>
      <c r="D379" s="306">
        <f t="shared" ca="1" si="153"/>
        <v>-0.96520006215697318</v>
      </c>
      <c r="E379" s="307">
        <f t="shared" ca="1" si="154"/>
        <v>-6.5704458940587909</v>
      </c>
      <c r="F379" s="304">
        <f t="shared" ca="1" si="155"/>
        <v>6.6409615573907557</v>
      </c>
      <c r="G379" s="306">
        <f t="shared" ca="1" si="156"/>
        <v>19.097997263555694</v>
      </c>
      <c r="H379" s="307">
        <f t="shared" ca="1" si="157"/>
        <v>-65.080659620974927</v>
      </c>
      <c r="I379" s="304">
        <f t="shared" ca="1" si="158"/>
        <v>67.824964107472823</v>
      </c>
      <c r="J379" s="306">
        <f t="shared" ca="1" si="159"/>
        <v>673.86545621067637</v>
      </c>
      <c r="K379" s="307">
        <f t="shared" ca="1" si="160"/>
        <v>1174.9318048365344</v>
      </c>
      <c r="L379" s="304">
        <f t="shared" ca="1" si="145"/>
        <v>1354.4590798877828</v>
      </c>
      <c r="M379" s="306">
        <f t="shared" ca="1" si="161"/>
        <v>-1.285358387312276</v>
      </c>
      <c r="N379" s="304">
        <f t="shared" ca="1" si="162"/>
        <v>-73.645610754735245</v>
      </c>
      <c r="P379" s="310">
        <f t="shared" ca="1" si="163"/>
        <v>23</v>
      </c>
      <c r="Q379" s="304">
        <f t="shared" ca="1" si="164"/>
        <v>0</v>
      </c>
      <c r="R379" s="306">
        <f t="shared" ca="1" si="165"/>
        <v>0</v>
      </c>
      <c r="S379" s="307">
        <f t="shared" ca="1" si="166"/>
        <v>2.9792999999999985</v>
      </c>
      <c r="T379" s="304">
        <f t="shared" ca="1" si="146"/>
        <v>29.226932999999988</v>
      </c>
      <c r="U379" s="311">
        <f t="shared" ca="1" si="147"/>
        <v>0</v>
      </c>
      <c r="V379" s="306">
        <f t="shared" ca="1" si="148"/>
        <v>1.0890570393151389</v>
      </c>
      <c r="W379" s="304">
        <f t="shared" ca="1" si="149"/>
        <v>10.258943574458765</v>
      </c>
      <c r="Y379" s="314" t="str">
        <f t="shared" ca="1" si="167"/>
        <v/>
      </c>
      <c r="Z379" s="315" t="str">
        <f t="shared" ca="1" si="168"/>
        <v/>
      </c>
      <c r="AA379" s="316" t="str">
        <f t="shared" ca="1" si="169"/>
        <v/>
      </c>
      <c r="AC379" s="310" t="e">
        <f t="shared" ca="1" si="170"/>
        <v>#N/A</v>
      </c>
      <c r="AD379" s="323" t="e">
        <f t="shared" ca="1" si="171"/>
        <v>#N/A</v>
      </c>
      <c r="AE379" s="324" t="e">
        <f t="shared" ca="1" si="150"/>
        <v>#N/A</v>
      </c>
      <c r="AG379" s="306">
        <f t="shared" ca="1" si="172"/>
        <v>6.021299391679956</v>
      </c>
      <c r="AH379" s="304">
        <f t="shared" ca="1" si="173"/>
        <v>-3.3802843024379436</v>
      </c>
    </row>
    <row r="380" spans="1:34" x14ac:dyDescent="0.2">
      <c r="A380" s="347">
        <f t="shared" ca="1" si="151"/>
        <v>0.1</v>
      </c>
      <c r="B380" s="304">
        <f t="shared" ca="1" si="152"/>
        <v>24.200000000000038</v>
      </c>
      <c r="D380" s="306">
        <f t="shared" ca="1" si="153"/>
        <v>-0.96958672040351579</v>
      </c>
      <c r="E380" s="307">
        <f t="shared" ca="1" si="154"/>
        <v>-6.5059182969403011</v>
      </c>
      <c r="F380" s="304">
        <f t="shared" ca="1" si="155"/>
        <v>6.5777709974462804</v>
      </c>
      <c r="G380" s="306">
        <f t="shared" ca="1" si="156"/>
        <v>19.001038591515343</v>
      </c>
      <c r="H380" s="307">
        <f t="shared" ca="1" si="157"/>
        <v>-65.731251450668964</v>
      </c>
      <c r="I380" s="304">
        <f t="shared" ca="1" si="158"/>
        <v>68.422488151391619</v>
      </c>
      <c r="J380" s="306">
        <f t="shared" ca="1" si="159"/>
        <v>675.77040800342991</v>
      </c>
      <c r="K380" s="307">
        <f t="shared" ca="1" si="160"/>
        <v>1168.3912092829521</v>
      </c>
      <c r="L380" s="304">
        <f t="shared" ca="1" si="145"/>
        <v>1349.7420724948902</v>
      </c>
      <c r="M380" s="306">
        <f t="shared" ca="1" si="161"/>
        <v>-1.2893954879729543</v>
      </c>
      <c r="N380" s="304">
        <f t="shared" ca="1" si="162"/>
        <v>-73.876919584061582</v>
      </c>
      <c r="P380" s="310">
        <f t="shared" ca="1" si="163"/>
        <v>23</v>
      </c>
      <c r="Q380" s="304">
        <f t="shared" ca="1" si="164"/>
        <v>0</v>
      </c>
      <c r="R380" s="306">
        <f t="shared" ca="1" si="165"/>
        <v>0</v>
      </c>
      <c r="S380" s="307">
        <f t="shared" ca="1" si="166"/>
        <v>2.9792999999999985</v>
      </c>
      <c r="T380" s="304">
        <f t="shared" ca="1" si="146"/>
        <v>29.226932999999988</v>
      </c>
      <c r="U380" s="311">
        <f t="shared" ca="1" si="147"/>
        <v>0</v>
      </c>
      <c r="V380" s="306">
        <f t="shared" ca="1" si="148"/>
        <v>1.089772035132839</v>
      </c>
      <c r="W380" s="304">
        <f t="shared" ca="1" si="149"/>
        <v>10.44735265398154</v>
      </c>
      <c r="Y380" s="314" t="str">
        <f t="shared" ca="1" si="167"/>
        <v/>
      </c>
      <c r="Z380" s="315" t="str">
        <f t="shared" ca="1" si="168"/>
        <v/>
      </c>
      <c r="AA380" s="316" t="str">
        <f t="shared" ca="1" si="169"/>
        <v/>
      </c>
      <c r="AC380" s="310" t="e">
        <f t="shared" ca="1" si="170"/>
        <v>#N/A</v>
      </c>
      <c r="AD380" s="323" t="e">
        <f t="shared" ca="1" si="171"/>
        <v>#N/A</v>
      </c>
      <c r="AE380" s="324" t="e">
        <f t="shared" ca="1" si="150"/>
        <v>#N/A</v>
      </c>
      <c r="AG380" s="306">
        <f t="shared" ca="1" si="172"/>
        <v>5.9696646360243051</v>
      </c>
      <c r="AH380" s="304">
        <f t="shared" ca="1" si="173"/>
        <v>-3.4434073689990168</v>
      </c>
    </row>
    <row r="381" spans="1:34" x14ac:dyDescent="0.2">
      <c r="A381" s="347">
        <f t="shared" ca="1" si="151"/>
        <v>0.1</v>
      </c>
      <c r="B381" s="304">
        <f t="shared" ca="1" si="152"/>
        <v>24.30000000000004</v>
      </c>
      <c r="D381" s="306">
        <f t="shared" ca="1" si="153"/>
        <v>-0.97380162532592229</v>
      </c>
      <c r="E381" s="307">
        <f t="shared" ca="1" si="154"/>
        <v>-6.4412789067250911</v>
      </c>
      <c r="F381" s="304">
        <f t="shared" ca="1" si="155"/>
        <v>6.5144733908205499</v>
      </c>
      <c r="G381" s="306">
        <f t="shared" ca="1" si="156"/>
        <v>18.903658428982752</v>
      </c>
      <c r="H381" s="307">
        <f t="shared" ca="1" si="157"/>
        <v>-66.375379341341471</v>
      </c>
      <c r="I381" s="304">
        <f t="shared" ca="1" si="158"/>
        <v>69.014775843341184</v>
      </c>
      <c r="J381" s="306">
        <f t="shared" ca="1" si="159"/>
        <v>677.66564285445486</v>
      </c>
      <c r="K381" s="307">
        <f t="shared" ca="1" si="160"/>
        <v>1161.7858777433516</v>
      </c>
      <c r="L381" s="304">
        <f t="shared" ca="1" si="145"/>
        <v>1344.9822114917474</v>
      </c>
      <c r="M381" s="306">
        <f t="shared" ca="1" si="161"/>
        <v>-1.2933428461050216</v>
      </c>
      <c r="N381" s="304">
        <f t="shared" ca="1" si="162"/>
        <v>-74.103086545255678</v>
      </c>
      <c r="P381" s="310">
        <f t="shared" ca="1" si="163"/>
        <v>23</v>
      </c>
      <c r="Q381" s="304">
        <f t="shared" ca="1" si="164"/>
        <v>0</v>
      </c>
      <c r="R381" s="306">
        <f t="shared" ca="1" si="165"/>
        <v>0</v>
      </c>
      <c r="S381" s="307">
        <f t="shared" ca="1" si="166"/>
        <v>2.9792999999999985</v>
      </c>
      <c r="T381" s="304">
        <f t="shared" ca="1" si="146"/>
        <v>29.226932999999988</v>
      </c>
      <c r="U381" s="311">
        <f t="shared" ca="1" si="147"/>
        <v>0</v>
      </c>
      <c r="V381" s="306">
        <f t="shared" ca="1" si="148"/>
        <v>1.0904945562290731</v>
      </c>
      <c r="W381" s="304">
        <f t="shared" ca="1" si="149"/>
        <v>10.636054030334133</v>
      </c>
      <c r="Y381" s="314" t="str">
        <f t="shared" ca="1" si="167"/>
        <v/>
      </c>
      <c r="Z381" s="315" t="str">
        <f t="shared" ca="1" si="168"/>
        <v/>
      </c>
      <c r="AA381" s="316" t="str">
        <f t="shared" ca="1" si="169"/>
        <v/>
      </c>
      <c r="AC381" s="310" t="e">
        <f t="shared" ca="1" si="170"/>
        <v>#N/A</v>
      </c>
      <c r="AD381" s="323" t="e">
        <f t="shared" ca="1" si="171"/>
        <v>#N/A</v>
      </c>
      <c r="AE381" s="324" t="e">
        <f t="shared" ca="1" si="150"/>
        <v>#N/A</v>
      </c>
      <c r="AG381" s="306">
        <f t="shared" ca="1" si="172"/>
        <v>5.917500110821444</v>
      </c>
      <c r="AH381" s="304">
        <f t="shared" ca="1" si="173"/>
        <v>-3.5066467472163074</v>
      </c>
    </row>
    <row r="382" spans="1:34" x14ac:dyDescent="0.2">
      <c r="A382" s="347">
        <f t="shared" ca="1" si="151"/>
        <v>0.1</v>
      </c>
      <c r="B382" s="304">
        <f t="shared" ca="1" si="152"/>
        <v>24.400000000000041</v>
      </c>
      <c r="D382" s="306">
        <f t="shared" ca="1" si="153"/>
        <v>-0.97784513162989495</v>
      </c>
      <c r="E382" s="307">
        <f t="shared" ca="1" si="154"/>
        <v>-6.3765460052162553</v>
      </c>
      <c r="F382" s="304">
        <f t="shared" ca="1" si="155"/>
        <v>6.4510867346588725</v>
      </c>
      <c r="G382" s="306">
        <f t="shared" ca="1" si="156"/>
        <v>18.805873915819763</v>
      </c>
      <c r="H382" s="307">
        <f t="shared" ca="1" si="157"/>
        <v>-67.0130339418631</v>
      </c>
      <c r="I382" s="304">
        <f t="shared" ca="1" si="158"/>
        <v>69.601778797894283</v>
      </c>
      <c r="J382" s="306">
        <f t="shared" ca="1" si="159"/>
        <v>679.55111947169496</v>
      </c>
      <c r="K382" s="307">
        <f t="shared" ca="1" si="160"/>
        <v>1155.1164570791914</v>
      </c>
      <c r="L382" s="304">
        <f t="shared" ca="1" si="145"/>
        <v>1340.1804928405791</v>
      </c>
      <c r="M382" s="306">
        <f t="shared" ca="1" si="161"/>
        <v>-1.2972034347317107</v>
      </c>
      <c r="N382" s="304">
        <f t="shared" ca="1" si="162"/>
        <v>-74.324281980001174</v>
      </c>
      <c r="P382" s="310">
        <f t="shared" ca="1" si="163"/>
        <v>23</v>
      </c>
      <c r="Q382" s="304">
        <f t="shared" ca="1" si="164"/>
        <v>0</v>
      </c>
      <c r="R382" s="306">
        <f t="shared" ca="1" si="165"/>
        <v>0</v>
      </c>
      <c r="S382" s="307">
        <f t="shared" ca="1" si="166"/>
        <v>2.9792999999999985</v>
      </c>
      <c r="T382" s="304">
        <f t="shared" ca="1" si="146"/>
        <v>29.226932999999988</v>
      </c>
      <c r="U382" s="311">
        <f t="shared" ca="1" si="147"/>
        <v>0</v>
      </c>
      <c r="V382" s="306">
        <f t="shared" ca="1" si="148"/>
        <v>1.0912245454622873</v>
      </c>
      <c r="W382" s="304">
        <f t="shared" ca="1" si="149"/>
        <v>10.824994229090077</v>
      </c>
      <c r="Y382" s="314" t="str">
        <f t="shared" ca="1" si="167"/>
        <v/>
      </c>
      <c r="Z382" s="315" t="str">
        <f t="shared" ca="1" si="168"/>
        <v/>
      </c>
      <c r="AA382" s="316" t="str">
        <f t="shared" ca="1" si="169"/>
        <v/>
      </c>
      <c r="AC382" s="310" t="e">
        <f t="shared" ca="1" si="170"/>
        <v>#N/A</v>
      </c>
      <c r="AD382" s="323" t="e">
        <f t="shared" ca="1" si="171"/>
        <v>#N/A</v>
      </c>
      <c r="AE382" s="324" t="e">
        <f t="shared" ca="1" si="150"/>
        <v>#N/A</v>
      </c>
      <c r="AG382" s="306">
        <f t="shared" ca="1" si="172"/>
        <v>5.8648427771141147</v>
      </c>
      <c r="AH382" s="304">
        <f t="shared" ca="1" si="173"/>
        <v>-3.5699842346638935</v>
      </c>
    </row>
    <row r="383" spans="1:34" x14ac:dyDescent="0.2">
      <c r="A383" s="347">
        <f t="shared" ca="1" si="151"/>
        <v>0.1</v>
      </c>
      <c r="B383" s="304">
        <f t="shared" ca="1" si="152"/>
        <v>24.500000000000043</v>
      </c>
      <c r="D383" s="306">
        <f t="shared" ca="1" si="153"/>
        <v>-0.98171769272921983</v>
      </c>
      <c r="E383" s="307">
        <f t="shared" ca="1" si="154"/>
        <v>-6.3117376294940994</v>
      </c>
      <c r="F383" s="304">
        <f t="shared" ca="1" si="155"/>
        <v>6.3876287878828224</v>
      </c>
      <c r="G383" s="306">
        <f t="shared" ca="1" si="156"/>
        <v>18.70770214654684</v>
      </c>
      <c r="H383" s="307">
        <f t="shared" ca="1" si="157"/>
        <v>-67.644207704812516</v>
      </c>
      <c r="I383" s="304">
        <f t="shared" ca="1" si="158"/>
        <v>70.183452149461345</v>
      </c>
      <c r="J383" s="306">
        <f t="shared" ca="1" si="159"/>
        <v>681.42679827481334</v>
      </c>
      <c r="K383" s="307">
        <f t="shared" ca="1" si="160"/>
        <v>1148.3835949968575</v>
      </c>
      <c r="L383" s="304">
        <f t="shared" ca="1" si="145"/>
        <v>1335.3379207769731</v>
      </c>
      <c r="M383" s="306">
        <f t="shared" ca="1" si="161"/>
        <v>-1.3009801000026313</v>
      </c>
      <c r="N383" s="304">
        <f t="shared" ca="1" si="162"/>
        <v>-74.54066896065855</v>
      </c>
      <c r="P383" s="310">
        <f t="shared" ca="1" si="163"/>
        <v>23</v>
      </c>
      <c r="Q383" s="304">
        <f t="shared" ca="1" si="164"/>
        <v>0</v>
      </c>
      <c r="R383" s="306">
        <f t="shared" ca="1" si="165"/>
        <v>0</v>
      </c>
      <c r="S383" s="307">
        <f t="shared" ca="1" si="166"/>
        <v>2.9792999999999985</v>
      </c>
      <c r="T383" s="304">
        <f t="shared" ca="1" si="146"/>
        <v>29.226932999999988</v>
      </c>
      <c r="U383" s="311">
        <f t="shared" ca="1" si="147"/>
        <v>0</v>
      </c>
      <c r="V383" s="306">
        <f t="shared" ca="1" si="148"/>
        <v>1.0919619455735661</v>
      </c>
      <c r="W383" s="304">
        <f t="shared" ca="1" si="149"/>
        <v>11.014120551769453</v>
      </c>
      <c r="Y383" s="314" t="str">
        <f t="shared" ca="1" si="167"/>
        <v/>
      </c>
      <c r="Z383" s="315" t="str">
        <f t="shared" ca="1" si="168"/>
        <v/>
      </c>
      <c r="AA383" s="316" t="str">
        <f t="shared" ca="1" si="169"/>
        <v/>
      </c>
      <c r="AC383" s="310" t="e">
        <f t="shared" ca="1" si="170"/>
        <v>#N/A</v>
      </c>
      <c r="AD383" s="323" t="e">
        <f t="shared" ca="1" si="171"/>
        <v>#N/A</v>
      </c>
      <c r="AE383" s="324" t="e">
        <f t="shared" ca="1" si="150"/>
        <v>#N/A</v>
      </c>
      <c r="AG383" s="306">
        <f t="shared" ca="1" si="172"/>
        <v>5.8117283183467325</v>
      </c>
      <c r="AH383" s="304">
        <f t="shared" ca="1" si="173"/>
        <v>-3.6334018826872359</v>
      </c>
    </row>
    <row r="384" spans="1:34" x14ac:dyDescent="0.2">
      <c r="A384" s="347">
        <f t="shared" ca="1" si="151"/>
        <v>0.1</v>
      </c>
      <c r="B384" s="304">
        <f t="shared" ca="1" si="152"/>
        <v>24.600000000000044</v>
      </c>
      <c r="D384" s="306">
        <f t="shared" ca="1" si="153"/>
        <v>-0.9854198570515641</v>
      </c>
      <c r="E384" s="307">
        <f t="shared" ca="1" si="154"/>
        <v>-6.2468715641997372</v>
      </c>
      <c r="F384" s="304">
        <f t="shared" ca="1" si="155"/>
        <v>6.3241170636128166</v>
      </c>
      <c r="G384" s="306">
        <f t="shared" ca="1" si="156"/>
        <v>18.609160160841682</v>
      </c>
      <c r="H384" s="307">
        <f t="shared" ca="1" si="157"/>
        <v>-68.268894861232496</v>
      </c>
      <c r="I384" s="304">
        <f t="shared" ca="1" si="158"/>
        <v>70.759754433335004</v>
      </c>
      <c r="J384" s="306">
        <f t="shared" ca="1" si="159"/>
        <v>683.29264139018278</v>
      </c>
      <c r="K384" s="307">
        <f t="shared" ca="1" si="160"/>
        <v>1141.5879398685552</v>
      </c>
      <c r="L384" s="304">
        <f t="shared" ca="1" si="145"/>
        <v>1330.4555077984776</v>
      </c>
      <c r="M384" s="306">
        <f t="shared" ca="1" si="161"/>
        <v>-1.3046755676051112</v>
      </c>
      <c r="N384" s="304">
        <f t="shared" ca="1" si="162"/>
        <v>-74.752403657607985</v>
      </c>
      <c r="P384" s="310">
        <f t="shared" ca="1" si="163"/>
        <v>23</v>
      </c>
      <c r="Q384" s="304">
        <f t="shared" ca="1" si="164"/>
        <v>0</v>
      </c>
      <c r="R384" s="306">
        <f t="shared" ca="1" si="165"/>
        <v>0</v>
      </c>
      <c r="S384" s="307">
        <f t="shared" ca="1" si="166"/>
        <v>2.9792999999999985</v>
      </c>
      <c r="T384" s="304">
        <f t="shared" ca="1" si="146"/>
        <v>29.226932999999988</v>
      </c>
      <c r="U384" s="311">
        <f t="shared" ca="1" si="147"/>
        <v>0</v>
      </c>
      <c r="V384" s="306">
        <f t="shared" ca="1" si="148"/>
        <v>1.0927066992019265</v>
      </c>
      <c r="W384" s="304">
        <f t="shared" ca="1" si="149"/>
        <v>11.2033810946121</v>
      </c>
      <c r="Y384" s="314" t="str">
        <f t="shared" ca="1" si="167"/>
        <v/>
      </c>
      <c r="Z384" s="315" t="str">
        <f t="shared" ca="1" si="168"/>
        <v/>
      </c>
      <c r="AA384" s="316" t="str">
        <f t="shared" ca="1" si="169"/>
        <v/>
      </c>
      <c r="AC384" s="310" t="e">
        <f t="shared" ca="1" si="170"/>
        <v>#N/A</v>
      </c>
      <c r="AD384" s="323" t="e">
        <f t="shared" ca="1" si="171"/>
        <v>#N/A</v>
      </c>
      <c r="AE384" s="324" t="e">
        <f t="shared" ca="1" si="150"/>
        <v>#N/A</v>
      </c>
      <c r="AG384" s="306">
        <f t="shared" ca="1" si="172"/>
        <v>5.7581911980957239</v>
      </c>
      <c r="AH384" s="304">
        <f t="shared" ca="1" si="173"/>
        <v>-3.6968820030777225</v>
      </c>
    </row>
    <row r="385" spans="1:34" x14ac:dyDescent="0.2">
      <c r="A385" s="347">
        <f t="shared" ca="1" si="151"/>
        <v>0.1</v>
      </c>
      <c r="B385" s="304">
        <f t="shared" ca="1" si="152"/>
        <v>24.700000000000045</v>
      </c>
      <c r="D385" s="306">
        <f t="shared" ca="1" si="153"/>
        <v>-0.98895226443769169</v>
      </c>
      <c r="E385" s="307">
        <f t="shared" ca="1" si="154"/>
        <v>-6.1819653342689627</v>
      </c>
      <c r="F385" s="304">
        <f t="shared" ca="1" si="155"/>
        <v>6.2605688220352311</v>
      </c>
      <c r="G385" s="306">
        <f t="shared" ca="1" si="156"/>
        <v>18.510264934397913</v>
      </c>
      <c r="H385" s="307">
        <f t="shared" ca="1" si="157"/>
        <v>-68.887091394659393</v>
      </c>
      <c r="I385" s="304">
        <f t="shared" ca="1" si="158"/>
        <v>71.330647471880965</v>
      </c>
      <c r="J385" s="306">
        <f t="shared" ca="1" si="159"/>
        <v>685.14861264494471</v>
      </c>
      <c r="K385" s="307">
        <f t="shared" ca="1" si="160"/>
        <v>1134.7301405557605</v>
      </c>
      <c r="L385" s="304">
        <f t="shared" ca="1" si="145"/>
        <v>1325.5342746587085</v>
      </c>
      <c r="M385" s="306">
        <f t="shared" ca="1" si="161"/>
        <v>-1.3082924488099743</v>
      </c>
      <c r="N385" s="304">
        <f t="shared" ca="1" si="162"/>
        <v>-74.95963568564683</v>
      </c>
      <c r="P385" s="310">
        <f t="shared" ca="1" si="163"/>
        <v>23</v>
      </c>
      <c r="Q385" s="304">
        <f t="shared" ca="1" si="164"/>
        <v>0</v>
      </c>
      <c r="R385" s="306">
        <f t="shared" ca="1" si="165"/>
        <v>0</v>
      </c>
      <c r="S385" s="307">
        <f t="shared" ca="1" si="166"/>
        <v>2.9792999999999985</v>
      </c>
      <c r="T385" s="304">
        <f t="shared" ca="1" si="146"/>
        <v>29.226932999999988</v>
      </c>
      <c r="U385" s="311">
        <f t="shared" ca="1" si="147"/>
        <v>0</v>
      </c>
      <c r="V385" s="306">
        <f t="shared" ca="1" si="148"/>
        <v>1.093458748899431</v>
      </c>
      <c r="W385" s="304">
        <f t="shared" ca="1" si="149"/>
        <v>11.392724766243024</v>
      </c>
      <c r="Y385" s="314" t="str">
        <f t="shared" ca="1" si="167"/>
        <v/>
      </c>
      <c r="Z385" s="315" t="str">
        <f t="shared" ca="1" si="168"/>
        <v/>
      </c>
      <c r="AA385" s="316" t="str">
        <f t="shared" ca="1" si="169"/>
        <v/>
      </c>
      <c r="AC385" s="310" t="e">
        <f t="shared" ca="1" si="170"/>
        <v>#N/A</v>
      </c>
      <c r="AD385" s="323" t="e">
        <f t="shared" ca="1" si="171"/>
        <v>#N/A</v>
      </c>
      <c r="AE385" s="324" t="e">
        <f t="shared" ca="1" si="150"/>
        <v>#N/A</v>
      </c>
      <c r="AG385" s="306">
        <f t="shared" ca="1" si="172"/>
        <v>5.7042647136504492</v>
      </c>
      <c r="AH385" s="304">
        <f t="shared" ca="1" si="173"/>
        <v>-3.7604071743738814</v>
      </c>
    </row>
    <row r="386" spans="1:34" x14ac:dyDescent="0.2">
      <c r="A386" s="347">
        <f t="shared" ca="1" si="151"/>
        <v>0.1</v>
      </c>
      <c r="B386" s="304">
        <f t="shared" ca="1" si="152"/>
        <v>24.800000000000047</v>
      </c>
      <c r="D386" s="306">
        <f t="shared" ca="1" si="153"/>
        <v>-0.99231564262915117</v>
      </c>
      <c r="E386" s="307">
        <f t="shared" ca="1" si="154"/>
        <v>-6.1170361981089627</v>
      </c>
      <c r="F386" s="304">
        <f t="shared" ca="1" si="155"/>
        <v>6.1970010637066908</v>
      </c>
      <c r="G386" s="306">
        <f t="shared" ca="1" si="156"/>
        <v>18.411033370134998</v>
      </c>
      <c r="H386" s="307">
        <f t="shared" ca="1" si="157"/>
        <v>-69.498795014470289</v>
      </c>
      <c r="I386" s="304">
        <f t="shared" ca="1" si="158"/>
        <v>71.896096265510721</v>
      </c>
      <c r="J386" s="306">
        <f t="shared" ca="1" si="159"/>
        <v>686.99467756017134</v>
      </c>
      <c r="K386" s="307">
        <f t="shared" ca="1" si="160"/>
        <v>1127.8108462353041</v>
      </c>
      <c r="L386" s="304">
        <f t="shared" ca="1" si="145"/>
        <v>1320.5752503670499</v>
      </c>
      <c r="M386" s="306">
        <f t="shared" ca="1" si="161"/>
        <v>-1.3118332461742934</v>
      </c>
      <c r="N386" s="304">
        <f t="shared" ca="1" si="162"/>
        <v>-75.162508430733354</v>
      </c>
      <c r="P386" s="310">
        <f t="shared" ca="1" si="163"/>
        <v>23</v>
      </c>
      <c r="Q386" s="304">
        <f t="shared" ca="1" si="164"/>
        <v>0</v>
      </c>
      <c r="R386" s="306">
        <f t="shared" ca="1" si="165"/>
        <v>0</v>
      </c>
      <c r="S386" s="307">
        <f t="shared" ca="1" si="166"/>
        <v>2.9792999999999985</v>
      </c>
      <c r="T386" s="304">
        <f t="shared" ca="1" si="146"/>
        <v>29.226932999999988</v>
      </c>
      <c r="U386" s="311">
        <f t="shared" ca="1" si="147"/>
        <v>0</v>
      </c>
      <c r="V386" s="306">
        <f t="shared" ca="1" si="148"/>
        <v>1.0942180371461037</v>
      </c>
      <c r="W386" s="304">
        <f t="shared" ca="1" si="149"/>
        <v>11.582101304236074</v>
      </c>
      <c r="Y386" s="314" t="str">
        <f t="shared" ca="1" si="167"/>
        <v/>
      </c>
      <c r="Z386" s="315" t="str">
        <f t="shared" ca="1" si="168"/>
        <v/>
      </c>
      <c r="AA386" s="316" t="str">
        <f t="shared" ca="1" si="169"/>
        <v/>
      </c>
      <c r="AC386" s="310" t="e">
        <f t="shared" ca="1" si="170"/>
        <v>#N/A</v>
      </c>
      <c r="AD386" s="323" t="e">
        <f t="shared" ca="1" si="171"/>
        <v>#N/A</v>
      </c>
      <c r="AE386" s="324" t="e">
        <f t="shared" ca="1" si="150"/>
        <v>#N/A</v>
      </c>
      <c r="AG386" s="306">
        <f t="shared" ca="1" si="172"/>
        <v>5.6499810457886417</v>
      </c>
      <c r="AH386" s="304">
        <f t="shared" ca="1" si="173"/>
        <v>-3.8239602477907662</v>
      </c>
    </row>
    <row r="387" spans="1:34" x14ac:dyDescent="0.2">
      <c r="A387" s="347">
        <f t="shared" ca="1" si="151"/>
        <v>0.1</v>
      </c>
      <c r="B387" s="304">
        <f t="shared" ca="1" si="152"/>
        <v>24.900000000000048</v>
      </c>
      <c r="D387" s="306">
        <f t="shared" ca="1" si="153"/>
        <v>-0.99551080383999946</v>
      </c>
      <c r="E387" s="307">
        <f t="shared" ca="1" si="154"/>
        <v>-6.05210114121045</v>
      </c>
      <c r="F387" s="304">
        <f t="shared" ca="1" si="155"/>
        <v>6.1334305232881698</v>
      </c>
      <c r="G387" s="306">
        <f t="shared" ca="1" si="156"/>
        <v>18.311482289750998</v>
      </c>
      <c r="H387" s="307">
        <f t="shared" ca="1" si="157"/>
        <v>-70.104005128591339</v>
      </c>
      <c r="I387" s="304">
        <f t="shared" ca="1" si="158"/>
        <v>72.456068888102294</v>
      </c>
      <c r="J387" s="306">
        <f t="shared" ca="1" si="159"/>
        <v>688.8308033431656</v>
      </c>
      <c r="K387" s="307">
        <f t="shared" ca="1" si="160"/>
        <v>1120.830706228151</v>
      </c>
      <c r="L387" s="304">
        <f t="shared" ca="1" si="145"/>
        <v>1315.5794721940163</v>
      </c>
      <c r="M387" s="306">
        <f t="shared" ca="1" si="161"/>
        <v>-1.3153003589222241</v>
      </c>
      <c r="N387" s="304">
        <f t="shared" ca="1" si="162"/>
        <v>-75.361159358285789</v>
      </c>
      <c r="P387" s="310">
        <f t="shared" ca="1" si="163"/>
        <v>23</v>
      </c>
      <c r="Q387" s="304">
        <f t="shared" ca="1" si="164"/>
        <v>0</v>
      </c>
      <c r="R387" s="306">
        <f t="shared" ca="1" si="165"/>
        <v>0</v>
      </c>
      <c r="S387" s="307">
        <f t="shared" ca="1" si="166"/>
        <v>2.9792999999999985</v>
      </c>
      <c r="T387" s="304">
        <f t="shared" ca="1" si="146"/>
        <v>29.226932999999988</v>
      </c>
      <c r="U387" s="311">
        <f t="shared" ca="1" si="147"/>
        <v>0</v>
      </c>
      <c r="V387" s="306">
        <f t="shared" ca="1" si="148"/>
        <v>1.0949845063646471</v>
      </c>
      <c r="W387" s="304">
        <f t="shared" ca="1" si="149"/>
        <v>11.771461290583652</v>
      </c>
      <c r="Y387" s="314" t="str">
        <f t="shared" ca="1" si="167"/>
        <v/>
      </c>
      <c r="Z387" s="315" t="str">
        <f t="shared" ca="1" si="168"/>
        <v/>
      </c>
      <c r="AA387" s="316" t="str">
        <f t="shared" ca="1" si="169"/>
        <v/>
      </c>
      <c r="AC387" s="310" t="e">
        <f t="shared" ca="1" si="170"/>
        <v>#N/A</v>
      </c>
      <c r="AD387" s="323" t="e">
        <f t="shared" ca="1" si="171"/>
        <v>#N/A</v>
      </c>
      <c r="AE387" s="324" t="e">
        <f t="shared" ca="1" si="150"/>
        <v>#N/A</v>
      </c>
      <c r="AG387" s="306">
        <f t="shared" ca="1" si="172"/>
        <v>5.5953713050617866</v>
      </c>
      <c r="AH387" s="304">
        <f t="shared" ca="1" si="173"/>
        <v>-3.8875243527795389</v>
      </c>
    </row>
    <row r="388" spans="1:34" x14ac:dyDescent="0.2">
      <c r="A388" s="347">
        <f t="shared" ca="1" si="151"/>
        <v>0.1</v>
      </c>
      <c r="B388" s="304">
        <f t="shared" ca="1" si="152"/>
        <v>25.00000000000005</v>
      </c>
      <c r="D388" s="306">
        <f t="shared" ca="1" si="153"/>
        <v>-0.99853864140864812</v>
      </c>
      <c r="E388" s="307">
        <f t="shared" ca="1" si="154"/>
        <v>-5.9871768701876942</v>
      </c>
      <c r="F388" s="304">
        <f t="shared" ca="1" si="155"/>
        <v>6.0698736637014727</v>
      </c>
      <c r="G388" s="306">
        <f t="shared" ca="1" si="156"/>
        <v>18.211628425610133</v>
      </c>
      <c r="H388" s="307">
        <f t="shared" ca="1" si="157"/>
        <v>-70.702722815610102</v>
      </c>
      <c r="I388" s="304">
        <f t="shared" ca="1" si="158"/>
        <v>73.010536386561938</v>
      </c>
      <c r="J388" s="306">
        <f t="shared" ca="1" si="159"/>
        <v>690.65695887893366</v>
      </c>
      <c r="K388" s="307">
        <f t="shared" ca="1" si="160"/>
        <v>1113.790369830941</v>
      </c>
      <c r="L388" s="304">
        <f t="shared" ref="L388:L451" ca="1" si="174">SQRT(pos_x^2+pos_z^2)</f>
        <v>1310.5479856823411</v>
      </c>
      <c r="M388" s="306">
        <f t="shared" ca="1" si="161"/>
        <v>-1.3186960880236922</v>
      </c>
      <c r="N388" s="304">
        <f t="shared" ca="1" si="162"/>
        <v>-75.555720304169668</v>
      </c>
      <c r="P388" s="310">
        <f t="shared" ca="1" si="163"/>
        <v>23</v>
      </c>
      <c r="Q388" s="304">
        <f t="shared" ca="1" si="164"/>
        <v>0</v>
      </c>
      <c r="R388" s="306">
        <f t="shared" ca="1" si="165"/>
        <v>0</v>
      </c>
      <c r="S388" s="307">
        <f t="shared" ca="1" si="166"/>
        <v>2.9792999999999985</v>
      </c>
      <c r="T388" s="304">
        <f t="shared" ref="T388:T451" ca="1" si="175">m*g</f>
        <v>29.226932999999988</v>
      </c>
      <c r="U388" s="311">
        <f t="shared" ref="U388:U451" ca="1" si="176">IF(pos_xz&lt;L_rampe,Poids*COS(Beta),0)</f>
        <v>0</v>
      </c>
      <c r="V388" s="306">
        <f t="shared" ref="V388:V451" ca="1" si="177">Rho_moyen*(20000-Alt_rampe-pos_z)/(20000+Alt_rampe+pos_z)</f>
        <v>1.0957580989349542</v>
      </c>
      <c r="W388" s="304">
        <f t="shared" ref="W388:W451" ca="1" si="178">1/2*Rho*Sref*Cx*vit_xz^2</f>
        <v>11.960756166081479</v>
      </c>
      <c r="Y388" s="314" t="str">
        <f t="shared" ca="1" si="167"/>
        <v/>
      </c>
      <c r="Z388" s="315" t="str">
        <f t="shared" ca="1" si="168"/>
        <v/>
      </c>
      <c r="AA388" s="316" t="str">
        <f t="shared" ca="1" si="169"/>
        <v/>
      </c>
      <c r="AC388" s="310">
        <f t="shared" ca="1" si="170"/>
        <v>25.00000000000005</v>
      </c>
      <c r="AD388" s="323">
        <f t="shared" ca="1" si="171"/>
        <v>690.65695887893366</v>
      </c>
      <c r="AE388" s="324" t="e">
        <f t="shared" ref="AE388:AE451" ca="1" si="179">IF(t&lt;T_para, pos_z, NA())</f>
        <v>#N/A</v>
      </c>
      <c r="AG388" s="306">
        <f t="shared" ca="1" si="172"/>
        <v>5.5404655748795939</v>
      </c>
      <c r="AH388" s="304">
        <f t="shared" ca="1" si="173"/>
        <v>-3.9510829022198695</v>
      </c>
    </row>
    <row r="389" spans="1:34" x14ac:dyDescent="0.2">
      <c r="A389" s="347">
        <f t="shared" ref="A389:A452" ca="1" si="180">IF(B388+0.01&lt;=T_ini+ROUNDUP(Temps_fin_propu,0), 0.01, IF(K388&gt;0, 0.1, 0.0001))</f>
        <v>0.1</v>
      </c>
      <c r="B389" s="304">
        <f t="shared" ref="B389:B452" ca="1" si="181">B388+pas</f>
        <v>25.100000000000051</v>
      </c>
      <c r="D389" s="306">
        <f t="shared" ref="D389:D452" ca="1" si="182">IF(AND(L388&lt;L_rampe,Poussee&lt;Poids*SIN(M388)),0,(-W388+Poussee)/m*COS(M388)-U388/m*SIN(M388))</f>
        <v>-1.0014001265263031</v>
      </c>
      <c r="E389" s="307">
        <f t="shared" ref="E389:E452" ca="1" si="183">IF(AND(L388&lt;L_rampe,Poussee&lt;Poids*SIN(M388)),0,(-W388+Poussee)/m*SIN(M388)+U388/m*COS(M388)-Poids/m)</f>
        <v>-5.9222798072389278</v>
      </c>
      <c r="F389" s="304">
        <f t="shared" ref="F389:F452" ca="1" si="184">SQRT(acc_x^2+acc_z^2)</f>
        <v>6.0063466707006548</v>
      </c>
      <c r="G389" s="306">
        <f t="shared" ref="G389:G452" ca="1" si="185">G388+acc_x*pas</f>
        <v>18.111488412957502</v>
      </c>
      <c r="H389" s="307">
        <f t="shared" ref="H389:H452" ca="1" si="186">H388+acc_z*pas</f>
        <v>-71.294950796333993</v>
      </c>
      <c r="I389" s="304">
        <f t="shared" ref="I389:I452" ca="1" si="187">SQRT(vit_x^2+vit_z^2)</f>
        <v>73.559472684246316</v>
      </c>
      <c r="J389" s="306">
        <f t="shared" ref="J389:J452" ca="1" si="188">J388+0.5*(vit_x+G388)*pas*(K388&gt;=0)</f>
        <v>692.4731147208621</v>
      </c>
      <c r="K389" s="307">
        <f t="shared" ref="K389:K452" ca="1" si="189">K388+0.5*(vit_z+H388)*pas</f>
        <v>1106.6904861503438</v>
      </c>
      <c r="L389" s="304">
        <f t="shared" ca="1" si="174"/>
        <v>1305.4818446638378</v>
      </c>
      <c r="M389" s="306">
        <f t="shared" ref="M389:M452" ca="1" si="190">IF(AND(L388&gt;L_rampe,G389&gt;0),ATAN2(G389,H389),$M$4)</f>
        <v>-1.3220226409894436</v>
      </c>
      <c r="N389" s="304">
        <f t="shared" ref="N389:N452" ca="1" si="191">DEGREES(Beta)</f>
        <v>-75.746317749433942</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2.9792999999999985</v>
      </c>
      <c r="T389" s="304">
        <f t="shared" ca="1" si="175"/>
        <v>29.226932999999988</v>
      </c>
      <c r="U389" s="311">
        <f t="shared" ca="1" si="176"/>
        <v>0</v>
      </c>
      <c r="V389" s="306">
        <f t="shared" ca="1" si="177"/>
        <v>1.0965387572084084</v>
      </c>
      <c r="W389" s="304">
        <f t="shared" ca="1" si="178"/>
        <v>12.149938243639058</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t="e">
        <f t="shared" ca="1" si="179"/>
        <v>#N/A</v>
      </c>
      <c r="AG389" s="306">
        <f t="shared" ref="AG389:AG452" ca="1" si="201">IF(AND(L388&lt;L_rampe,Poussee&lt;Poids*SIN(M388)),0,(-W388+Poussee)/m-Poids*SIN(M388)/m)</f>
        <v>5.4852929516588844</v>
      </c>
      <c r="AH389" s="304">
        <f t="shared" ref="AH389:AH452" ca="1" si="202">IF(AND(L388&lt;L_rampe,Poussee&lt;Poids*SIN(M388)), g*SIN(M388), (-W388+Poussee)/m)</f>
        <v>-4.0146195972481742</v>
      </c>
    </row>
    <row r="390" spans="1:34" x14ac:dyDescent="0.2">
      <c r="A390" s="347">
        <f t="shared" ca="1" si="180"/>
        <v>0.1</v>
      </c>
      <c r="B390" s="304">
        <f t="shared" ca="1" si="181"/>
        <v>25.200000000000053</v>
      </c>
      <c r="D390" s="306">
        <f t="shared" ca="1" si="182"/>
        <v>-1.0040963050388843</v>
      </c>
      <c r="E390" s="307">
        <f t="shared" ca="1" si="183"/>
        <v>-5.8574260850194664</v>
      </c>
      <c r="F390" s="304">
        <f t="shared" ca="1" si="184"/>
        <v>5.9428654478508269</v>
      </c>
      <c r="G390" s="306">
        <f t="shared" ca="1" si="185"/>
        <v>18.011078782453612</v>
      </c>
      <c r="H390" s="307">
        <f t="shared" ca="1" si="186"/>
        <v>-71.880693404835938</v>
      </c>
      <c r="I390" s="304">
        <f t="shared" ca="1" si="187"/>
        <v>74.102854487987003</v>
      </c>
      <c r="J390" s="306">
        <f t="shared" ca="1" si="188"/>
        <v>694.27924308063268</v>
      </c>
      <c r="K390" s="307">
        <f t="shared" ca="1" si="189"/>
        <v>1099.5317039402853</v>
      </c>
      <c r="L390" s="304">
        <f t="shared" ca="1" si="174"/>
        <v>1300.3821112820813</v>
      </c>
      <c r="M390" s="306">
        <f t="shared" ca="1" si="190"/>
        <v>-1.3252821363997751</v>
      </c>
      <c r="N390" s="304">
        <f t="shared" ca="1" si="191"/>
        <v>-75.933073079788201</v>
      </c>
      <c r="P390" s="310">
        <f t="shared" ca="1" si="192"/>
        <v>23</v>
      </c>
      <c r="Q390" s="304">
        <f t="shared" ca="1" si="193"/>
        <v>0</v>
      </c>
      <c r="R390" s="306">
        <f t="shared" ca="1" si="194"/>
        <v>0</v>
      </c>
      <c r="S390" s="307">
        <f t="shared" ca="1" si="195"/>
        <v>2.9792999999999985</v>
      </c>
      <c r="T390" s="304">
        <f t="shared" ca="1" si="175"/>
        <v>29.226932999999988</v>
      </c>
      <c r="U390" s="311">
        <f t="shared" ca="1" si="176"/>
        <v>0</v>
      </c>
      <c r="V390" s="306">
        <f t="shared" ca="1" si="177"/>
        <v>1.0973264235219669</v>
      </c>
      <c r="W390" s="304">
        <f t="shared" ca="1" si="178"/>
        <v>12.338960720527735</v>
      </c>
      <c r="Y390" s="314" t="str">
        <f t="shared" ca="1" si="196"/>
        <v/>
      </c>
      <c r="Z390" s="315" t="str">
        <f t="shared" ca="1" si="197"/>
        <v/>
      </c>
      <c r="AA390" s="316" t="str">
        <f t="shared" ca="1" si="198"/>
        <v/>
      </c>
      <c r="AC390" s="310" t="e">
        <f t="shared" ca="1" si="199"/>
        <v>#N/A</v>
      </c>
      <c r="AD390" s="323" t="e">
        <f t="shared" ca="1" si="200"/>
        <v>#N/A</v>
      </c>
      <c r="AE390" s="324" t="e">
        <f t="shared" ca="1" si="179"/>
        <v>#N/A</v>
      </c>
      <c r="AG390" s="306">
        <f t="shared" ca="1" si="201"/>
        <v>5.4298815822800437</v>
      </c>
      <c r="AH390" s="304">
        <f t="shared" ca="1" si="202"/>
        <v>-4.078118431725259</v>
      </c>
    </row>
    <row r="391" spans="1:34" x14ac:dyDescent="0.2">
      <c r="A391" s="347">
        <f t="shared" ca="1" si="180"/>
        <v>0.1</v>
      </c>
      <c r="B391" s="304">
        <f t="shared" ca="1" si="181"/>
        <v>25.300000000000054</v>
      </c>
      <c r="D391" s="306">
        <f t="shared" ca="1" si="182"/>
        <v>-1.0066282943196887</v>
      </c>
      <c r="E391" s="307">
        <f t="shared" ca="1" si="183"/>
        <v>-5.7926315419198122</v>
      </c>
      <c r="F391" s="304">
        <f t="shared" ca="1" si="184"/>
        <v>5.8794456119067275</v>
      </c>
      <c r="G391" s="306">
        <f t="shared" ca="1" si="185"/>
        <v>17.910415953021644</v>
      </c>
      <c r="H391" s="307">
        <f t="shared" ca="1" si="186"/>
        <v>-72.459956559027916</v>
      </c>
      <c r="I391" s="304">
        <f t="shared" ca="1" si="187"/>
        <v>74.640661198481254</v>
      </c>
      <c r="J391" s="306">
        <f t="shared" ca="1" si="188"/>
        <v>696.07531781740647</v>
      </c>
      <c r="K391" s="307">
        <f t="shared" ca="1" si="189"/>
        <v>1092.314671442092</v>
      </c>
      <c r="L391" s="304">
        <f t="shared" ca="1" si="174"/>
        <v>1295.2498560209335</v>
      </c>
      <c r="M391" s="306">
        <f t="shared" ca="1" si="190"/>
        <v>-1.32847660818317</v>
      </c>
      <c r="N391" s="304">
        <f t="shared" ca="1" si="191"/>
        <v>-76.116102830750364</v>
      </c>
      <c r="P391" s="310">
        <f t="shared" ca="1" si="192"/>
        <v>23</v>
      </c>
      <c r="Q391" s="304">
        <f t="shared" ca="1" si="193"/>
        <v>0</v>
      </c>
      <c r="R391" s="306">
        <f t="shared" ca="1" si="194"/>
        <v>0</v>
      </c>
      <c r="S391" s="307">
        <f t="shared" ca="1" si="195"/>
        <v>2.9792999999999985</v>
      </c>
      <c r="T391" s="304">
        <f t="shared" ca="1" si="175"/>
        <v>29.226932999999988</v>
      </c>
      <c r="U391" s="311">
        <f t="shared" ca="1" si="176"/>
        <v>0</v>
      </c>
      <c r="V391" s="306">
        <f t="shared" ca="1" si="177"/>
        <v>1.0981210402120296</v>
      </c>
      <c r="W391" s="304">
        <f t="shared" ca="1" si="178"/>
        <v>12.527777689579613</v>
      </c>
      <c r="Y391" s="314" t="str">
        <f t="shared" ca="1" si="196"/>
        <v/>
      </c>
      <c r="Z391" s="315" t="str">
        <f t="shared" ca="1" si="197"/>
        <v/>
      </c>
      <c r="AA391" s="316" t="str">
        <f t="shared" ca="1" si="198"/>
        <v/>
      </c>
      <c r="AC391" s="310" t="e">
        <f t="shared" ca="1" si="199"/>
        <v>#N/A</v>
      </c>
      <c r="AD391" s="323" t="e">
        <f t="shared" ca="1" si="200"/>
        <v>#N/A</v>
      </c>
      <c r="AE391" s="324" t="e">
        <f t="shared" ca="1" si="179"/>
        <v>#N/A</v>
      </c>
      <c r="AG391" s="306">
        <f t="shared" ca="1" si="201"/>
        <v>5.3742586990740318</v>
      </c>
      <c r="AH391" s="304">
        <f t="shared" ca="1" si="202"/>
        <v>-4.1415636963473776</v>
      </c>
    </row>
    <row r="392" spans="1:34" x14ac:dyDescent="0.2">
      <c r="A392" s="347">
        <f t="shared" ca="1" si="180"/>
        <v>0.1</v>
      </c>
      <c r="B392" s="304">
        <f t="shared" ca="1" si="181"/>
        <v>25.400000000000055</v>
      </c>
      <c r="D392" s="306">
        <f t="shared" ca="1" si="182"/>
        <v>-1.0089972802103189</v>
      </c>
      <c r="E392" s="307">
        <f t="shared" ca="1" si="183"/>
        <v>-5.7279117177408478</v>
      </c>
      <c r="F392" s="304">
        <f t="shared" ca="1" si="184"/>
        <v>5.8161024885832893</v>
      </c>
      <c r="G392" s="306">
        <f t="shared" ca="1" si="185"/>
        <v>17.809516225000614</v>
      </c>
      <c r="H392" s="307">
        <f t="shared" ca="1" si="186"/>
        <v>-73.032747730802001</v>
      </c>
      <c r="I392" s="304">
        <f t="shared" ca="1" si="187"/>
        <v>75.172874823832061</v>
      </c>
      <c r="J392" s="306">
        <f t="shared" ca="1" si="188"/>
        <v>697.86131442630756</v>
      </c>
      <c r="K392" s="307">
        <f t="shared" ca="1" si="189"/>
        <v>1085.0400362276005</v>
      </c>
      <c r="L392" s="304">
        <f t="shared" ca="1" si="174"/>
        <v>1290.0861577389342</v>
      </c>
      <c r="M392" s="306">
        <f t="shared" ca="1" si="190"/>
        <v>-1.3316080096600049</v>
      </c>
      <c r="N392" s="304">
        <f t="shared" ca="1" si="191"/>
        <v>-76.295518919334043</v>
      </c>
      <c r="P392" s="310">
        <f t="shared" ca="1" si="192"/>
        <v>23</v>
      </c>
      <c r="Q392" s="304">
        <f t="shared" ca="1" si="193"/>
        <v>0</v>
      </c>
      <c r="R392" s="306">
        <f t="shared" ca="1" si="194"/>
        <v>0</v>
      </c>
      <c r="S392" s="307">
        <f t="shared" ca="1" si="195"/>
        <v>2.9792999999999985</v>
      </c>
      <c r="T392" s="304">
        <f t="shared" ca="1" si="175"/>
        <v>29.226932999999988</v>
      </c>
      <c r="U392" s="311">
        <f t="shared" ca="1" si="176"/>
        <v>0</v>
      </c>
      <c r="V392" s="306">
        <f t="shared" ca="1" si="177"/>
        <v>1.098922549628071</v>
      </c>
      <c r="W392" s="304">
        <f t="shared" ca="1" si="178"/>
        <v>12.716344149351457</v>
      </c>
      <c r="Y392" s="314" t="str">
        <f t="shared" ca="1" si="196"/>
        <v/>
      </c>
      <c r="Z392" s="315" t="str">
        <f t="shared" ca="1" si="197"/>
        <v/>
      </c>
      <c r="AA392" s="316" t="str">
        <f t="shared" ca="1" si="198"/>
        <v/>
      </c>
      <c r="AC392" s="310" t="e">
        <f t="shared" ca="1" si="199"/>
        <v>#N/A</v>
      </c>
      <c r="AD392" s="323" t="e">
        <f t="shared" ca="1" si="200"/>
        <v>#N/A</v>
      </c>
      <c r="AE392" s="324" t="e">
        <f t="shared" ca="1" si="179"/>
        <v>#N/A</v>
      </c>
      <c r="AG392" s="306">
        <f t="shared" ca="1" si="201"/>
        <v>5.3184506525444855</v>
      </c>
      <c r="AH392" s="304">
        <f t="shared" ca="1" si="202"/>
        <v>-4.2049399824051354</v>
      </c>
    </row>
    <row r="393" spans="1:34" x14ac:dyDescent="0.2">
      <c r="A393" s="347">
        <f t="shared" ca="1" si="180"/>
        <v>0.1</v>
      </c>
      <c r="B393" s="304">
        <f t="shared" ca="1" si="181"/>
        <v>25.500000000000057</v>
      </c>
      <c r="D393" s="306">
        <f t="shared" ca="1" si="182"/>
        <v>-1.0112045140277262</v>
      </c>
      <c r="E393" s="307">
        <f t="shared" ca="1" si="183"/>
        <v>-5.6632818497582411</v>
      </c>
      <c r="F393" s="304">
        <f t="shared" ca="1" si="184"/>
        <v>5.7528511087104608</v>
      </c>
      <c r="G393" s="306">
        <f t="shared" ca="1" si="185"/>
        <v>17.708395773597843</v>
      </c>
      <c r="H393" s="307">
        <f t="shared" ca="1" si="186"/>
        <v>-73.599075915777831</v>
      </c>
      <c r="I393" s="304">
        <f t="shared" ca="1" si="187"/>
        <v>75.699479896038952</v>
      </c>
      <c r="J393" s="306">
        <f t="shared" ca="1" si="188"/>
        <v>699.63721002623743</v>
      </c>
      <c r="K393" s="307">
        <f t="shared" ca="1" si="189"/>
        <v>1077.7084450452714</v>
      </c>
      <c r="L393" s="304">
        <f t="shared" ca="1" si="174"/>
        <v>1284.8921037095661</v>
      </c>
      <c r="M393" s="306">
        <f t="shared" ca="1" si="190"/>
        <v>-1.3346782173655378</v>
      </c>
      <c r="N393" s="304">
        <f t="shared" ca="1" si="191"/>
        <v>-76.471428863089614</v>
      </c>
      <c r="P393" s="310">
        <f t="shared" ca="1" si="192"/>
        <v>23</v>
      </c>
      <c r="Q393" s="304">
        <f t="shared" ca="1" si="193"/>
        <v>0</v>
      </c>
      <c r="R393" s="306">
        <f t="shared" ca="1" si="194"/>
        <v>0</v>
      </c>
      <c r="S393" s="307">
        <f t="shared" ca="1" si="195"/>
        <v>2.9792999999999985</v>
      </c>
      <c r="T393" s="304">
        <f t="shared" ca="1" si="175"/>
        <v>29.226932999999988</v>
      </c>
      <c r="U393" s="311">
        <f t="shared" ca="1" si="176"/>
        <v>0</v>
      </c>
      <c r="V393" s="306">
        <f t="shared" ca="1" si="177"/>
        <v>1.0997308941460575</v>
      </c>
      <c r="W393" s="304">
        <f t="shared" ca="1" si="178"/>
        <v>12.90461601326952</v>
      </c>
      <c r="Y393" s="314" t="str">
        <f t="shared" ca="1" si="196"/>
        <v/>
      </c>
      <c r="Z393" s="315" t="str">
        <f t="shared" ca="1" si="197"/>
        <v/>
      </c>
      <c r="AA393" s="316" t="str">
        <f t="shared" ca="1" si="198"/>
        <v/>
      </c>
      <c r="AC393" s="310" t="e">
        <f t="shared" ca="1" si="199"/>
        <v>#N/A</v>
      </c>
      <c r="AD393" s="323" t="e">
        <f t="shared" ca="1" si="200"/>
        <v>#N/A</v>
      </c>
      <c r="AE393" s="324" t="e">
        <f t="shared" ca="1" si="179"/>
        <v>#N/A</v>
      </c>
      <c r="AG393" s="306">
        <f t="shared" ca="1" si="201"/>
        <v>5.2624829420124417</v>
      </c>
      <c r="AH393" s="304">
        <f t="shared" ca="1" si="202"/>
        <v>-4.268232185195</v>
      </c>
    </row>
    <row r="394" spans="1:34" x14ac:dyDescent="0.2">
      <c r="A394" s="347">
        <f t="shared" ca="1" si="180"/>
        <v>0.1</v>
      </c>
      <c r="B394" s="304">
        <f t="shared" ca="1" si="181"/>
        <v>25.600000000000058</v>
      </c>
      <c r="D394" s="306">
        <f t="shared" ca="1" si="182"/>
        <v>-1.0132513096354565</v>
      </c>
      <c r="E394" s="307">
        <f t="shared" ca="1" si="183"/>
        <v>-5.5987568691678344</v>
      </c>
      <c r="F394" s="304">
        <f t="shared" ca="1" si="184"/>
        <v>5.6897062047641773</v>
      </c>
      <c r="G394" s="306">
        <f t="shared" ca="1" si="185"/>
        <v>17.607070642634298</v>
      </c>
      <c r="H394" s="307">
        <f t="shared" ca="1" si="186"/>
        <v>-74.158951602694614</v>
      </c>
      <c r="I394" s="304">
        <f t="shared" ca="1" si="187"/>
        <v>76.220463390257066</v>
      </c>
      <c r="J394" s="306">
        <f t="shared" ca="1" si="188"/>
        <v>701.40298334704903</v>
      </c>
      <c r="K394" s="307">
        <f t="shared" ca="1" si="189"/>
        <v>1070.3205436693479</v>
      </c>
      <c r="L394" s="304">
        <f t="shared" ca="1" si="174"/>
        <v>1279.6687896673848</v>
      </c>
      <c r="M394" s="306">
        <f t="shared" ca="1" si="190"/>
        <v>-1.33768903466546</v>
      </c>
      <c r="N394" s="304">
        <f t="shared" ca="1" si="191"/>
        <v>-76.643935987260136</v>
      </c>
      <c r="P394" s="310">
        <f t="shared" ca="1" si="192"/>
        <v>23</v>
      </c>
      <c r="Q394" s="304">
        <f t="shared" ca="1" si="193"/>
        <v>0</v>
      </c>
      <c r="R394" s="306">
        <f t="shared" ca="1" si="194"/>
        <v>0</v>
      </c>
      <c r="S394" s="307">
        <f t="shared" ca="1" si="195"/>
        <v>2.9792999999999985</v>
      </c>
      <c r="T394" s="304">
        <f t="shared" ca="1" si="175"/>
        <v>29.226932999999988</v>
      </c>
      <c r="U394" s="311">
        <f t="shared" ca="1" si="176"/>
        <v>0</v>
      </c>
      <c r="V394" s="306">
        <f t="shared" ca="1" si="177"/>
        <v>1.1005460161816205</v>
      </c>
      <c r="W394" s="304">
        <f t="shared" ca="1" si="178"/>
        <v>13.09255011777149</v>
      </c>
      <c r="Y394" s="314" t="str">
        <f t="shared" ca="1" si="196"/>
        <v/>
      </c>
      <c r="Z394" s="315" t="str">
        <f t="shared" ca="1" si="197"/>
        <v/>
      </c>
      <c r="AA394" s="316" t="str">
        <f t="shared" ca="1" si="198"/>
        <v/>
      </c>
      <c r="AC394" s="310" t="e">
        <f t="shared" ca="1" si="199"/>
        <v>#N/A</v>
      </c>
      <c r="AD394" s="323" t="e">
        <f t="shared" ca="1" si="200"/>
        <v>#N/A</v>
      </c>
      <c r="AE394" s="324" t="e">
        <f t="shared" ca="1" si="179"/>
        <v>#N/A</v>
      </c>
      <c r="AG394" s="306">
        <f t="shared" ca="1" si="201"/>
        <v>5.2063802443555218</v>
      </c>
      <c r="AH394" s="304">
        <f t="shared" ca="1" si="202"/>
        <v>-4.3314255070887544</v>
      </c>
    </row>
    <row r="395" spans="1:34" x14ac:dyDescent="0.2">
      <c r="A395" s="347">
        <f t="shared" ca="1" si="180"/>
        <v>0.1</v>
      </c>
      <c r="B395" s="304">
        <f t="shared" ca="1" si="181"/>
        <v>25.70000000000006</v>
      </c>
      <c r="D395" s="306">
        <f t="shared" ca="1" si="182"/>
        <v>-1.0151390405774146</v>
      </c>
      <c r="E395" s="307">
        <f t="shared" ca="1" si="183"/>
        <v>-5.5343513979039143</v>
      </c>
      <c r="F395" s="304">
        <f t="shared" ca="1" si="184"/>
        <v>5.6266822077655538</v>
      </c>
      <c r="G395" s="306">
        <f t="shared" ca="1" si="185"/>
        <v>17.505556738576555</v>
      </c>
      <c r="H395" s="307">
        <f t="shared" ca="1" si="186"/>
        <v>-74.712386742485009</v>
      </c>
      <c r="I395" s="304">
        <f t="shared" ca="1" si="187"/>
        <v>76.735814646657488</v>
      </c>
      <c r="J395" s="306">
        <f t="shared" ca="1" si="188"/>
        <v>703.15861471610958</v>
      </c>
      <c r="K395" s="307">
        <f t="shared" ca="1" si="189"/>
        <v>1062.8769767520889</v>
      </c>
      <c r="L395" s="304">
        <f t="shared" ca="1" si="174"/>
        <v>1274.4173198599974</v>
      </c>
      <c r="M395" s="306">
        <f t="shared" ca="1" si="190"/>
        <v>-1.3406421951764576</v>
      </c>
      <c r="N395" s="304">
        <f t="shared" ca="1" si="191"/>
        <v>-76.813139620764986</v>
      </c>
      <c r="P395" s="310">
        <f t="shared" ca="1" si="192"/>
        <v>23</v>
      </c>
      <c r="Q395" s="304">
        <f t="shared" ca="1" si="193"/>
        <v>0</v>
      </c>
      <c r="R395" s="306">
        <f t="shared" ca="1" si="194"/>
        <v>0</v>
      </c>
      <c r="S395" s="307">
        <f t="shared" ca="1" si="195"/>
        <v>2.9792999999999985</v>
      </c>
      <c r="T395" s="304">
        <f t="shared" ca="1" si="175"/>
        <v>29.226932999999988</v>
      </c>
      <c r="U395" s="311">
        <f t="shared" ca="1" si="176"/>
        <v>0</v>
      </c>
      <c r="V395" s="306">
        <f t="shared" ca="1" si="177"/>
        <v>1.1013678582029982</v>
      </c>
      <c r="W395" s="304">
        <f t="shared" ca="1" si="178"/>
        <v>13.280104229463385</v>
      </c>
      <c r="Y395" s="314" t="str">
        <f t="shared" ca="1" si="196"/>
        <v/>
      </c>
      <c r="Z395" s="315" t="str">
        <f t="shared" ca="1" si="197"/>
        <v/>
      </c>
      <c r="AA395" s="316" t="str">
        <f t="shared" ca="1" si="198"/>
        <v/>
      </c>
      <c r="AC395" s="310" t="e">
        <f t="shared" ca="1" si="199"/>
        <v>#N/A</v>
      </c>
      <c r="AD395" s="323" t="e">
        <f t="shared" ca="1" si="200"/>
        <v>#N/A</v>
      </c>
      <c r="AE395" s="324" t="e">
        <f t="shared" ca="1" si="179"/>
        <v>#N/A</v>
      </c>
      <c r="AG395" s="306">
        <f t="shared" ca="1" si="201"/>
        <v>5.1501664409993202</v>
      </c>
      <c r="AH395" s="304">
        <f t="shared" ca="1" si="202"/>
        <v>-4.3945054602663367</v>
      </c>
    </row>
    <row r="396" spans="1:34" x14ac:dyDescent="0.2">
      <c r="A396" s="347">
        <f t="shared" ca="1" si="180"/>
        <v>0.1</v>
      </c>
      <c r="B396" s="304">
        <f t="shared" ca="1" si="181"/>
        <v>25.800000000000061</v>
      </c>
      <c r="D396" s="306">
        <f t="shared" ca="1" si="182"/>
        <v>-1.0168691372726484</v>
      </c>
      <c r="E396" s="307">
        <f t="shared" ca="1" si="183"/>
        <v>-5.4700797458219625</v>
      </c>
      <c r="F396" s="304">
        <f t="shared" ca="1" si="184"/>
        <v>5.5637932445400313</v>
      </c>
      <c r="G396" s="306">
        <f t="shared" ca="1" si="185"/>
        <v>17.403869824849291</v>
      </c>
      <c r="H396" s="307">
        <f t="shared" ca="1" si="186"/>
        <v>-75.25939471706721</v>
      </c>
      <c r="I396" s="304">
        <f t="shared" ca="1" si="187"/>
        <v>77.245525294735515</v>
      </c>
      <c r="J396" s="306">
        <f t="shared" ca="1" si="188"/>
        <v>704.90408604428092</v>
      </c>
      <c r="K396" s="307">
        <f t="shared" ca="1" si="189"/>
        <v>1055.3783876791113</v>
      </c>
      <c r="L396" s="304">
        <f t="shared" ca="1" si="174"/>
        <v>1269.1388071058593</v>
      </c>
      <c r="M396" s="306">
        <f t="shared" ca="1" si="190"/>
        <v>-1.3435393660034214</v>
      </c>
      <c r="N396" s="304">
        <f t="shared" ca="1" si="191"/>
        <v>-76.979135281678438</v>
      </c>
      <c r="P396" s="310">
        <f t="shared" ca="1" si="192"/>
        <v>23</v>
      </c>
      <c r="Q396" s="304">
        <f t="shared" ca="1" si="193"/>
        <v>0</v>
      </c>
      <c r="R396" s="306">
        <f t="shared" ca="1" si="194"/>
        <v>0</v>
      </c>
      <c r="S396" s="307">
        <f t="shared" ca="1" si="195"/>
        <v>2.9792999999999985</v>
      </c>
      <c r="T396" s="304">
        <f t="shared" ca="1" si="175"/>
        <v>29.226932999999988</v>
      </c>
      <c r="U396" s="311">
        <f t="shared" ca="1" si="176"/>
        <v>0</v>
      </c>
      <c r="V396" s="306">
        <f t="shared" ca="1" si="177"/>
        <v>1.1021963627437408</v>
      </c>
      <c r="W396" s="304">
        <f t="shared" ca="1" si="178"/>
        <v>13.467237051309885</v>
      </c>
      <c r="Y396" s="314" t="str">
        <f t="shared" ca="1" si="196"/>
        <v/>
      </c>
      <c r="Z396" s="315" t="str">
        <f t="shared" ca="1" si="197"/>
        <v/>
      </c>
      <c r="AA396" s="316" t="str">
        <f t="shared" ca="1" si="198"/>
        <v/>
      </c>
      <c r="AC396" s="310" t="e">
        <f t="shared" ca="1" si="199"/>
        <v>#N/A</v>
      </c>
      <c r="AD396" s="323" t="e">
        <f t="shared" ca="1" si="200"/>
        <v>#N/A</v>
      </c>
      <c r="AE396" s="324" t="e">
        <f t="shared" ca="1" si="179"/>
        <v>#N/A</v>
      </c>
      <c r="AG396" s="306">
        <f t="shared" ca="1" si="201"/>
        <v>5.0938646433054746</v>
      </c>
      <c r="AH396" s="304">
        <f t="shared" ca="1" si="202"/>
        <v>-4.4574578691180449</v>
      </c>
    </row>
    <row r="397" spans="1:34" x14ac:dyDescent="0.2">
      <c r="A397" s="347">
        <f t="shared" ca="1" si="180"/>
        <v>0.1</v>
      </c>
      <c r="B397" s="304">
        <f t="shared" ca="1" si="181"/>
        <v>25.900000000000063</v>
      </c>
      <c r="D397" s="306">
        <f t="shared" ca="1" si="182"/>
        <v>-1.0184430842698606</v>
      </c>
      <c r="E397" s="307">
        <f t="shared" ca="1" si="183"/>
        <v>-5.4059559082374067</v>
      </c>
      <c r="F397" s="304">
        <f t="shared" ca="1" si="184"/>
        <v>5.5010531353281831</v>
      </c>
      <c r="G397" s="306">
        <f t="shared" ca="1" si="185"/>
        <v>17.302025516422304</v>
      </c>
      <c r="H397" s="307">
        <f t="shared" ca="1" si="186"/>
        <v>-75.799990307890951</v>
      </c>
      <c r="I397" s="304">
        <f t="shared" ca="1" si="187"/>
        <v>77.749589179926161</v>
      </c>
      <c r="J397" s="306">
        <f t="shared" ca="1" si="188"/>
        <v>706.63938081134449</v>
      </c>
      <c r="K397" s="307">
        <f t="shared" ca="1" si="189"/>
        <v>1047.8254184278633</v>
      </c>
      <c r="L397" s="304">
        <f t="shared" ca="1" si="174"/>
        <v>1263.8343728578391</v>
      </c>
      <c r="M397" s="306">
        <f t="shared" ca="1" si="190"/>
        <v>-1.3463821508042042</v>
      </c>
      <c r="N397" s="304">
        <f t="shared" ca="1" si="191"/>
        <v>-77.142014852827231</v>
      </c>
      <c r="P397" s="310">
        <f t="shared" ca="1" si="192"/>
        <v>23</v>
      </c>
      <c r="Q397" s="304">
        <f t="shared" ca="1" si="193"/>
        <v>0</v>
      </c>
      <c r="R397" s="306">
        <f t="shared" ca="1" si="194"/>
        <v>0</v>
      </c>
      <c r="S397" s="307">
        <f t="shared" ca="1" si="195"/>
        <v>2.9792999999999985</v>
      </c>
      <c r="T397" s="304">
        <f t="shared" ca="1" si="175"/>
        <v>29.226932999999988</v>
      </c>
      <c r="U397" s="311">
        <f t="shared" ca="1" si="176"/>
        <v>0</v>
      </c>
      <c r="V397" s="306">
        <f t="shared" ca="1" si="177"/>
        <v>1.1030314724151673</v>
      </c>
      <c r="W397" s="304">
        <f t="shared" ca="1" si="178"/>
        <v>13.65390822787734</v>
      </c>
      <c r="Y397" s="314" t="str">
        <f t="shared" ca="1" si="196"/>
        <v/>
      </c>
      <c r="Z397" s="315" t="str">
        <f t="shared" ca="1" si="197"/>
        <v/>
      </c>
      <c r="AA397" s="316" t="str">
        <f t="shared" ca="1" si="198"/>
        <v/>
      </c>
      <c r="AC397" s="310" t="e">
        <f t="shared" ca="1" si="199"/>
        <v>#N/A</v>
      </c>
      <c r="AD397" s="323" t="e">
        <f t="shared" ca="1" si="200"/>
        <v>#N/A</v>
      </c>
      <c r="AE397" s="324" t="e">
        <f t="shared" ca="1" si="179"/>
        <v>#N/A</v>
      </c>
      <c r="AG397" s="306">
        <f t="shared" ca="1" si="201"/>
        <v>5.0374972164888598</v>
      </c>
      <c r="AH397" s="304">
        <f t="shared" ca="1" si="202"/>
        <v>-4.5202688723223217</v>
      </c>
    </row>
    <row r="398" spans="1:34" x14ac:dyDescent="0.2">
      <c r="A398" s="347">
        <f t="shared" ca="1" si="180"/>
        <v>0.1</v>
      </c>
      <c r="B398" s="304">
        <f t="shared" ca="1" si="181"/>
        <v>26.000000000000064</v>
      </c>
      <c r="D398" s="306">
        <f t="shared" ca="1" si="182"/>
        <v>-1.0198624175604742</v>
      </c>
      <c r="E398" s="307">
        <f t="shared" ca="1" si="183"/>
        <v>-5.341993563811867</v>
      </c>
      <c r="F398" s="304">
        <f t="shared" ca="1" si="184"/>
        <v>5.4384753917398312</v>
      </c>
      <c r="G398" s="306">
        <f t="shared" ca="1" si="185"/>
        <v>17.200039274666256</v>
      </c>
      <c r="H398" s="307">
        <f t="shared" ca="1" si="186"/>
        <v>-76.334189664272131</v>
      </c>
      <c r="I398" s="304">
        <f t="shared" ca="1" si="187"/>
        <v>78.248002292398056</v>
      </c>
      <c r="J398" s="306">
        <f t="shared" ca="1" si="188"/>
        <v>708.36448405089891</v>
      </c>
      <c r="K398" s="307">
        <f t="shared" ca="1" si="189"/>
        <v>1040.2187094292551</v>
      </c>
      <c r="L398" s="304">
        <f t="shared" ca="1" si="174"/>
        <v>1258.5051472724938</v>
      </c>
      <c r="M398" s="306">
        <f t="shared" ca="1" si="190"/>
        <v>-1.3491720926921282</v>
      </c>
      <c r="N398" s="304">
        <f t="shared" ca="1" si="191"/>
        <v>-77.301866748092039</v>
      </c>
      <c r="P398" s="310">
        <f t="shared" ca="1" si="192"/>
        <v>23</v>
      </c>
      <c r="Q398" s="304">
        <f t="shared" ca="1" si="193"/>
        <v>0</v>
      </c>
      <c r="R398" s="306">
        <f t="shared" ca="1" si="194"/>
        <v>0</v>
      </c>
      <c r="S398" s="307">
        <f t="shared" ca="1" si="195"/>
        <v>2.9792999999999985</v>
      </c>
      <c r="T398" s="304">
        <f t="shared" ca="1" si="175"/>
        <v>29.226932999999988</v>
      </c>
      <c r="U398" s="311">
        <f t="shared" ca="1" si="176"/>
        <v>0</v>
      </c>
      <c r="V398" s="306">
        <f t="shared" ca="1" si="177"/>
        <v>1.1038731299185811</v>
      </c>
      <c r="W398" s="304">
        <f t="shared" ca="1" si="178"/>
        <v>13.840078349649749</v>
      </c>
      <c r="Y398" s="314" t="str">
        <f t="shared" ca="1" si="196"/>
        <v/>
      </c>
      <c r="Z398" s="315" t="str">
        <f t="shared" ca="1" si="197"/>
        <v/>
      </c>
      <c r="AA398" s="316" t="str">
        <f t="shared" ca="1" si="198"/>
        <v/>
      </c>
      <c r="AC398" s="310">
        <f t="shared" ca="1" si="199"/>
        <v>26.000000000000064</v>
      </c>
      <c r="AD398" s="323">
        <f t="shared" ca="1" si="200"/>
        <v>708.36448405089891</v>
      </c>
      <c r="AE398" s="324" t="e">
        <f t="shared" ca="1" si="179"/>
        <v>#N/A</v>
      </c>
      <c r="AG398" s="306">
        <f t="shared" ca="1" si="201"/>
        <v>4.9810858021854774</v>
      </c>
      <c r="AH398" s="304">
        <f t="shared" ca="1" si="202"/>
        <v>-4.5829249246055603</v>
      </c>
    </row>
    <row r="399" spans="1:34" x14ac:dyDescent="0.2">
      <c r="A399" s="347">
        <f t="shared" ca="1" si="180"/>
        <v>0.1</v>
      </c>
      <c r="B399" s="304">
        <f t="shared" ca="1" si="181"/>
        <v>26.100000000000065</v>
      </c>
      <c r="D399" s="306">
        <f t="shared" ca="1" si="182"/>
        <v>-1.0211287219492509</v>
      </c>
      <c r="E399" s="307">
        <f t="shared" ca="1" si="183"/>
        <v>-5.278206072778147</v>
      </c>
      <c r="F399" s="304">
        <f t="shared" ca="1" si="184"/>
        <v>5.3760732150429114</v>
      </c>
      <c r="G399" s="306">
        <f t="shared" ca="1" si="185"/>
        <v>17.09792640247133</v>
      </c>
      <c r="H399" s="307">
        <f t="shared" ca="1" si="186"/>
        <v>-76.862010271549948</v>
      </c>
      <c r="I399" s="304">
        <f t="shared" ca="1" si="187"/>
        <v>78.740762697907471</v>
      </c>
      <c r="J399" s="306">
        <f t="shared" ca="1" si="188"/>
        <v>710.07938233475579</v>
      </c>
      <c r="K399" s="307">
        <f t="shared" ca="1" si="189"/>
        <v>1032.5588994324639</v>
      </c>
      <c r="L399" s="304">
        <f t="shared" ca="1" si="174"/>
        <v>1253.1522692849778</v>
      </c>
      <c r="M399" s="306">
        <f t="shared" ca="1" si="190"/>
        <v>-1.3519106769857958</v>
      </c>
      <c r="N399" s="304">
        <f t="shared" ca="1" si="191"/>
        <v>-77.45877606996001</v>
      </c>
      <c r="P399" s="310">
        <f t="shared" ca="1" si="192"/>
        <v>23</v>
      </c>
      <c r="Q399" s="304">
        <f t="shared" ca="1" si="193"/>
        <v>0</v>
      </c>
      <c r="R399" s="306">
        <f t="shared" ca="1" si="194"/>
        <v>0</v>
      </c>
      <c r="S399" s="307">
        <f t="shared" ca="1" si="195"/>
        <v>2.9792999999999985</v>
      </c>
      <c r="T399" s="304">
        <f t="shared" ca="1" si="175"/>
        <v>29.226932999999988</v>
      </c>
      <c r="U399" s="311">
        <f t="shared" ca="1" si="176"/>
        <v>0</v>
      </c>
      <c r="V399" s="306">
        <f t="shared" ca="1" si="177"/>
        <v>1.1047212780572411</v>
      </c>
      <c r="W399" s="304">
        <f t="shared" ca="1" si="178"/>
        <v>14.025708956438645</v>
      </c>
      <c r="Y399" s="314" t="str">
        <f t="shared" ca="1" si="196"/>
        <v/>
      </c>
      <c r="Z399" s="315" t="str">
        <f t="shared" ca="1" si="197"/>
        <v/>
      </c>
      <c r="AA399" s="316" t="str">
        <f t="shared" ca="1" si="198"/>
        <v/>
      </c>
      <c r="AC399" s="310" t="e">
        <f t="shared" ca="1" si="199"/>
        <v>#N/A</v>
      </c>
      <c r="AD399" s="323" t="e">
        <f t="shared" ca="1" si="200"/>
        <v>#N/A</v>
      </c>
      <c r="AE399" s="324" t="e">
        <f t="shared" ca="1" si="179"/>
        <v>#N/A</v>
      </c>
      <c r="AG399" s="306">
        <f t="shared" ca="1" si="201"/>
        <v>4.9246513397822556</v>
      </c>
      <c r="AH399" s="304">
        <f t="shared" ca="1" si="202"/>
        <v>-4.645412798190768</v>
      </c>
    </row>
    <row r="400" spans="1:34" x14ac:dyDescent="0.2">
      <c r="A400" s="347">
        <f t="shared" ca="1" si="180"/>
        <v>0.1</v>
      </c>
      <c r="B400" s="304">
        <f t="shared" ca="1" si="181"/>
        <v>26.200000000000067</v>
      </c>
      <c r="D400" s="306">
        <f t="shared" ca="1" si="182"/>
        <v>-1.0222436284815641</v>
      </c>
      <c r="E400" s="307">
        <f t="shared" ca="1" si="183"/>
        <v>-5.2146064754951968</v>
      </c>
      <c r="F400" s="304">
        <f t="shared" ca="1" si="184"/>
        <v>5.3138594947784981</v>
      </c>
      <c r="G400" s="306">
        <f t="shared" ca="1" si="185"/>
        <v>16.995702039623175</v>
      </c>
      <c r="H400" s="307">
        <f t="shared" ca="1" si="186"/>
        <v>-77.383470919099466</v>
      </c>
      <c r="I400" s="304">
        <f t="shared" ca="1" si="187"/>
        <v>79.227870470603747</v>
      </c>
      <c r="J400" s="306">
        <f t="shared" ca="1" si="188"/>
        <v>711.78406375686052</v>
      </c>
      <c r="K400" s="307">
        <f t="shared" ca="1" si="189"/>
        <v>1024.8466253729314</v>
      </c>
      <c r="L400" s="304">
        <f t="shared" ca="1" si="174"/>
        <v>1247.7768866894899</v>
      </c>
      <c r="M400" s="306">
        <f t="shared" ca="1" si="190"/>
        <v>-1.3545993338151505</v>
      </c>
      <c r="N400" s="304">
        <f t="shared" ca="1" si="191"/>
        <v>-77.612824758841057</v>
      </c>
      <c r="P400" s="310">
        <f t="shared" ca="1" si="192"/>
        <v>23</v>
      </c>
      <c r="Q400" s="304">
        <f t="shared" ca="1" si="193"/>
        <v>0</v>
      </c>
      <c r="R400" s="306">
        <f t="shared" ca="1" si="194"/>
        <v>0</v>
      </c>
      <c r="S400" s="307">
        <f t="shared" ca="1" si="195"/>
        <v>2.9792999999999985</v>
      </c>
      <c r="T400" s="304">
        <f t="shared" ca="1" si="175"/>
        <v>29.226932999999988</v>
      </c>
      <c r="U400" s="311">
        <f t="shared" ca="1" si="176"/>
        <v>0</v>
      </c>
      <c r="V400" s="306">
        <f t="shared" ca="1" si="177"/>
        <v>1.1055758597480785</v>
      </c>
      <c r="W400" s="304">
        <f t="shared" ca="1" si="178"/>
        <v>14.210762539908215</v>
      </c>
      <c r="Y400" s="314" t="str">
        <f t="shared" ca="1" si="196"/>
        <v/>
      </c>
      <c r="Z400" s="315" t="str">
        <f t="shared" ca="1" si="197"/>
        <v/>
      </c>
      <c r="AA400" s="316" t="str">
        <f t="shared" ca="1" si="198"/>
        <v/>
      </c>
      <c r="AC400" s="310" t="e">
        <f t="shared" ca="1" si="199"/>
        <v>#N/A</v>
      </c>
      <c r="AD400" s="323" t="e">
        <f t="shared" ca="1" si="200"/>
        <v>#N/A</v>
      </c>
      <c r="AE400" s="324" t="e">
        <f t="shared" ca="1" si="179"/>
        <v>#N/A</v>
      </c>
      <c r="AG400" s="306">
        <f t="shared" ca="1" si="201"/>
        <v>4.868214086610779</v>
      </c>
      <c r="AH400" s="304">
        <f t="shared" ca="1" si="202"/>
        <v>-4.7077195839420849</v>
      </c>
    </row>
    <row r="401" spans="1:34" x14ac:dyDescent="0.2">
      <c r="A401" s="347">
        <f t="shared" ca="1" si="180"/>
        <v>0.1</v>
      </c>
      <c r="B401" s="304">
        <f t="shared" ca="1" si="181"/>
        <v>26.300000000000068</v>
      </c>
      <c r="D401" s="306">
        <f t="shared" ca="1" si="182"/>
        <v>-1.0232088119265186</v>
      </c>
      <c r="E401" s="307">
        <f t="shared" ca="1" si="183"/>
        <v>-5.1512074913242243</v>
      </c>
      <c r="F401" s="304">
        <f t="shared" ca="1" si="184"/>
        <v>5.2518468076933553</v>
      </c>
      <c r="G401" s="306">
        <f t="shared" ca="1" si="185"/>
        <v>16.893381158430525</v>
      </c>
      <c r="H401" s="307">
        <f t="shared" ca="1" si="186"/>
        <v>-77.898591668231887</v>
      </c>
      <c r="I401" s="304">
        <f t="shared" ca="1" si="187"/>
        <v>79.709327627686974</v>
      </c>
      <c r="J401" s="306">
        <f t="shared" ca="1" si="188"/>
        <v>713.47851791676317</v>
      </c>
      <c r="K401" s="307">
        <f t="shared" ca="1" si="189"/>
        <v>1017.0825222435648</v>
      </c>
      <c r="L401" s="304">
        <f t="shared" ca="1" si="174"/>
        <v>1242.3801562251517</v>
      </c>
      <c r="M401" s="306">
        <f t="shared" ca="1" si="190"/>
        <v>-1.3572394405921684</v>
      </c>
      <c r="N401" s="304">
        <f t="shared" ca="1" si="191"/>
        <v>-77.764091734628067</v>
      </c>
      <c r="P401" s="310">
        <f t="shared" ca="1" si="192"/>
        <v>23</v>
      </c>
      <c r="Q401" s="304">
        <f t="shared" ca="1" si="193"/>
        <v>0</v>
      </c>
      <c r="R401" s="306">
        <f t="shared" ca="1" si="194"/>
        <v>0</v>
      </c>
      <c r="S401" s="307">
        <f t="shared" ca="1" si="195"/>
        <v>2.9792999999999985</v>
      </c>
      <c r="T401" s="304">
        <f t="shared" ca="1" si="175"/>
        <v>29.226932999999988</v>
      </c>
      <c r="U401" s="311">
        <f t="shared" ca="1" si="176"/>
        <v>0</v>
      </c>
      <c r="V401" s="306">
        <f t="shared" ca="1" si="177"/>
        <v>1.1064368180331661</v>
      </c>
      <c r="W401" s="304">
        <f t="shared" ca="1" si="178"/>
        <v>14.395202545238094</v>
      </c>
      <c r="Y401" s="314" t="str">
        <f t="shared" ca="1" si="196"/>
        <v/>
      </c>
      <c r="Z401" s="315" t="str">
        <f t="shared" ca="1" si="197"/>
        <v/>
      </c>
      <c r="AA401" s="316" t="str">
        <f t="shared" ca="1" si="198"/>
        <v/>
      </c>
      <c r="AC401" s="310" t="e">
        <f t="shared" ca="1" si="199"/>
        <v>#N/A</v>
      </c>
      <c r="AD401" s="323" t="e">
        <f t="shared" ca="1" si="200"/>
        <v>#N/A</v>
      </c>
      <c r="AE401" s="324" t="e">
        <f t="shared" ca="1" si="179"/>
        <v>#N/A</v>
      </c>
      <c r="AG401" s="306">
        <f t="shared" ca="1" si="201"/>
        <v>4.8117936370985044</v>
      </c>
      <c r="AH401" s="304">
        <f t="shared" ca="1" si="202"/>
        <v>-4.7698326922123391</v>
      </c>
    </row>
    <row r="402" spans="1:34" x14ac:dyDescent="0.2">
      <c r="A402" s="347">
        <f t="shared" ca="1" si="180"/>
        <v>0.1</v>
      </c>
      <c r="B402" s="304">
        <f t="shared" ca="1" si="181"/>
        <v>26.40000000000007</v>
      </c>
      <c r="D402" s="306">
        <f t="shared" ca="1" si="182"/>
        <v>-1.0240259883152365</v>
      </c>
      <c r="E402" s="307">
        <f t="shared" ca="1" si="183"/>
        <v>-5.0880215178169079</v>
      </c>
      <c r="F402" s="304">
        <f t="shared" ca="1" si="184"/>
        <v>5.1900474169811659</v>
      </c>
      <c r="G402" s="306">
        <f t="shared" ca="1" si="185"/>
        <v>16.790978559599001</v>
      </c>
      <c r="H402" s="307">
        <f t="shared" ca="1" si="186"/>
        <v>-78.407393820013581</v>
      </c>
      <c r="I402" s="304">
        <f t="shared" ca="1" si="187"/>
        <v>80.185138065826251</v>
      </c>
      <c r="J402" s="306">
        <f t="shared" ca="1" si="188"/>
        <v>715.16273590266462</v>
      </c>
      <c r="K402" s="307">
        <f t="shared" ca="1" si="189"/>
        <v>1009.2672229691525</v>
      </c>
      <c r="L402" s="304">
        <f t="shared" ca="1" si="174"/>
        <v>1236.9632436671873</v>
      </c>
      <c r="M402" s="306">
        <f t="shared" ca="1" si="190"/>
        <v>-1.3598323243540293</v>
      </c>
      <c r="N402" s="304">
        <f t="shared" ca="1" si="191"/>
        <v>-77.912653030950707</v>
      </c>
      <c r="P402" s="310">
        <f t="shared" ca="1" si="192"/>
        <v>23</v>
      </c>
      <c r="Q402" s="304">
        <f t="shared" ca="1" si="193"/>
        <v>0</v>
      </c>
      <c r="R402" s="306">
        <f t="shared" ca="1" si="194"/>
        <v>0</v>
      </c>
      <c r="S402" s="307">
        <f t="shared" ca="1" si="195"/>
        <v>2.9792999999999985</v>
      </c>
      <c r="T402" s="304">
        <f t="shared" ca="1" si="175"/>
        <v>29.226932999999988</v>
      </c>
      <c r="U402" s="311">
        <f t="shared" ca="1" si="176"/>
        <v>0</v>
      </c>
      <c r="V402" s="306">
        <f t="shared" ca="1" si="177"/>
        <v>1.1073040960909362</v>
      </c>
      <c r="W402" s="304">
        <f t="shared" ca="1" si="178"/>
        <v>14.578993371946369</v>
      </c>
      <c r="Y402" s="314" t="str">
        <f t="shared" ca="1" si="196"/>
        <v/>
      </c>
      <c r="Z402" s="315" t="str">
        <f t="shared" ca="1" si="197"/>
        <v/>
      </c>
      <c r="AA402" s="316" t="str">
        <f t="shared" ca="1" si="198"/>
        <v/>
      </c>
      <c r="AC402" s="310" t="e">
        <f t="shared" ca="1" si="199"/>
        <v>#N/A</v>
      </c>
      <c r="AD402" s="323" t="e">
        <f t="shared" ca="1" si="200"/>
        <v>#N/A</v>
      </c>
      <c r="AE402" s="324" t="e">
        <f t="shared" ca="1" si="179"/>
        <v>#N/A</v>
      </c>
      <c r="AG402" s="306">
        <f t="shared" ca="1" si="201"/>
        <v>4.7554089409629645</v>
      </c>
      <c r="AH402" s="304">
        <f t="shared" ca="1" si="202"/>
        <v>-4.8317398534011682</v>
      </c>
    </row>
    <row r="403" spans="1:34" x14ac:dyDescent="0.2">
      <c r="A403" s="347">
        <f t="shared" ca="1" si="180"/>
        <v>0.1</v>
      </c>
      <c r="B403" s="304">
        <f t="shared" ca="1" si="181"/>
        <v>26.500000000000071</v>
      </c>
      <c r="D403" s="306">
        <f t="shared" ca="1" si="182"/>
        <v>-1.0246969125336727</v>
      </c>
      <c r="E403" s="307">
        <f t="shared" ca="1" si="183"/>
        <v>-5.0250606302067462</v>
      </c>
      <c r="F403" s="304">
        <f t="shared" ca="1" si="184"/>
        <v>5.1284732718236778</v>
      </c>
      <c r="G403" s="306">
        <f t="shared" ca="1" si="185"/>
        <v>16.688508868345632</v>
      </c>
      <c r="H403" s="307">
        <f t="shared" ca="1" si="186"/>
        <v>-78.909899883034257</v>
      </c>
      <c r="I403" s="304">
        <f t="shared" ca="1" si="187"/>
        <v>80.655307499254761</v>
      </c>
      <c r="J403" s="306">
        <f t="shared" ca="1" si="188"/>
        <v>716.83671027406183</v>
      </c>
      <c r="K403" s="307">
        <f t="shared" ca="1" si="189"/>
        <v>1001.4013582840001</v>
      </c>
      <c r="L403" s="304">
        <f t="shared" ca="1" si="174"/>
        <v>1231.5273239232574</v>
      </c>
      <c r="M403" s="306">
        <f t="shared" ca="1" si="190"/>
        <v>-1.3623792639861281</v>
      </c>
      <c r="N403" s="304">
        <f t="shared" ca="1" si="191"/>
        <v>-78.058581922544576</v>
      </c>
      <c r="P403" s="310">
        <f t="shared" ca="1" si="192"/>
        <v>23</v>
      </c>
      <c r="Q403" s="304">
        <f t="shared" ca="1" si="193"/>
        <v>0</v>
      </c>
      <c r="R403" s="306">
        <f t="shared" ca="1" si="194"/>
        <v>0</v>
      </c>
      <c r="S403" s="307">
        <f t="shared" ca="1" si="195"/>
        <v>2.9792999999999985</v>
      </c>
      <c r="T403" s="304">
        <f t="shared" ca="1" si="175"/>
        <v>29.226932999999988</v>
      </c>
      <c r="U403" s="311">
        <f t="shared" ca="1" si="176"/>
        <v>0</v>
      </c>
      <c r="V403" s="306">
        <f t="shared" ca="1" si="177"/>
        <v>1.1081776372471428</v>
      </c>
      <c r="W403" s="304">
        <f t="shared" ca="1" si="178"/>
        <v>14.762100373895924</v>
      </c>
      <c r="Y403" s="314" t="str">
        <f t="shared" ca="1" si="196"/>
        <v/>
      </c>
      <c r="Z403" s="315" t="str">
        <f t="shared" ca="1" si="197"/>
        <v/>
      </c>
      <c r="AA403" s="316" t="str">
        <f t="shared" ca="1" si="198"/>
        <v/>
      </c>
      <c r="AC403" s="310" t="e">
        <f t="shared" ca="1" si="199"/>
        <v>#N/A</v>
      </c>
      <c r="AD403" s="323" t="e">
        <f t="shared" ca="1" si="200"/>
        <v>#N/A</v>
      </c>
      <c r="AE403" s="324" t="e">
        <f t="shared" ca="1" si="179"/>
        <v>#N/A</v>
      </c>
      <c r="AG403" s="306">
        <f t="shared" ca="1" si="201"/>
        <v>4.6990783205274669</v>
      </c>
      <c r="AH403" s="304">
        <f t="shared" ca="1" si="202"/>
        <v>-4.8934291182312544</v>
      </c>
    </row>
    <row r="404" spans="1:34" x14ac:dyDescent="0.2">
      <c r="A404" s="347">
        <f t="shared" ca="1" si="180"/>
        <v>0.1</v>
      </c>
      <c r="B404" s="304">
        <f t="shared" ca="1" si="181"/>
        <v>26.600000000000072</v>
      </c>
      <c r="D404" s="306">
        <f t="shared" ca="1" si="182"/>
        <v>-1.0252233759693929</v>
      </c>
      <c r="E404" s="307">
        <f t="shared" ca="1" si="183"/>
        <v>-4.9623365811944486</v>
      </c>
      <c r="F404" s="304">
        <f t="shared" ca="1" si="184"/>
        <v>5.0671360072228859</v>
      </c>
      <c r="G404" s="306">
        <f t="shared" ca="1" si="185"/>
        <v>16.585986530748691</v>
      </c>
      <c r="H404" s="307">
        <f t="shared" ca="1" si="186"/>
        <v>-79.406133541153707</v>
      </c>
      <c r="I404" s="304">
        <f t="shared" ca="1" si="187"/>
        <v>81.119843399464926</v>
      </c>
      <c r="J404" s="306">
        <f t="shared" ca="1" si="188"/>
        <v>718.50043504401651</v>
      </c>
      <c r="K404" s="307">
        <f t="shared" ca="1" si="189"/>
        <v>993.48555661279079</v>
      </c>
      <c r="L404" s="304">
        <f t="shared" ca="1" si="174"/>
        <v>1226.0735811347815</v>
      </c>
      <c r="M404" s="306">
        <f t="shared" ca="1" si="190"/>
        <v>-1.364881492331818</v>
      </c>
      <c r="N404" s="304">
        <f t="shared" ca="1" si="191"/>
        <v>-78.201949046130608</v>
      </c>
      <c r="P404" s="310">
        <f t="shared" ca="1" si="192"/>
        <v>23</v>
      </c>
      <c r="Q404" s="304">
        <f t="shared" ca="1" si="193"/>
        <v>0</v>
      </c>
      <c r="R404" s="306">
        <f t="shared" ca="1" si="194"/>
        <v>0</v>
      </c>
      <c r="S404" s="307">
        <f t="shared" ca="1" si="195"/>
        <v>2.9792999999999985</v>
      </c>
      <c r="T404" s="304">
        <f t="shared" ca="1" si="175"/>
        <v>29.226932999999988</v>
      </c>
      <c r="U404" s="311">
        <f t="shared" ca="1" si="176"/>
        <v>0</v>
      </c>
      <c r="V404" s="306">
        <f t="shared" ca="1" si="177"/>
        <v>1.1090573849855707</v>
      </c>
      <c r="W404" s="304">
        <f t="shared" ca="1" si="178"/>
        <v>14.94448985850785</v>
      </c>
      <c r="Y404" s="314" t="str">
        <f t="shared" ca="1" si="196"/>
        <v/>
      </c>
      <c r="Z404" s="315" t="str">
        <f t="shared" ca="1" si="197"/>
        <v/>
      </c>
      <c r="AA404" s="316" t="str">
        <f t="shared" ca="1" si="198"/>
        <v/>
      </c>
      <c r="AC404" s="310" t="e">
        <f t="shared" ca="1" si="199"/>
        <v>#N/A</v>
      </c>
      <c r="AD404" s="323" t="e">
        <f t="shared" ca="1" si="200"/>
        <v>#N/A</v>
      </c>
      <c r="AE404" s="324" t="e">
        <f t="shared" ca="1" si="179"/>
        <v>#N/A</v>
      </c>
      <c r="AG404" s="306">
        <f t="shared" ca="1" si="201"/>
        <v>4.6428194872300503</v>
      </c>
      <c r="AH404" s="304">
        <f t="shared" ca="1" si="202"/>
        <v>-4.9548888577504551</v>
      </c>
    </row>
    <row r="405" spans="1:34" x14ac:dyDescent="0.2">
      <c r="A405" s="347">
        <f t="shared" ca="1" si="180"/>
        <v>0.1</v>
      </c>
      <c r="B405" s="304">
        <f t="shared" ca="1" si="181"/>
        <v>26.700000000000074</v>
      </c>
      <c r="D405" s="306">
        <f t="shared" ca="1" si="182"/>
        <v>-1.0256072042118245</v>
      </c>
      <c r="E405" s="307">
        <f t="shared" ca="1" si="183"/>
        <v>-4.8998608010181908</v>
      </c>
      <c r="F405" s="304">
        <f t="shared" ca="1" si="184"/>
        <v>5.0060469441152691</v>
      </c>
      <c r="G405" s="306">
        <f t="shared" ca="1" si="185"/>
        <v>16.48342581032751</v>
      </c>
      <c r="H405" s="307">
        <f t="shared" ca="1" si="186"/>
        <v>-79.896119621255522</v>
      </c>
      <c r="I405" s="304">
        <f t="shared" ca="1" si="187"/>
        <v>81.578754936432702</v>
      </c>
      <c r="J405" s="306">
        <f t="shared" ca="1" si="188"/>
        <v>720.15390566107033</v>
      </c>
      <c r="K405" s="307">
        <f t="shared" ca="1" si="189"/>
        <v>985.52044395467033</v>
      </c>
      <c r="L405" s="304">
        <f t="shared" ca="1" si="174"/>
        <v>1220.6032087830608</v>
      </c>
      <c r="M405" s="306">
        <f t="shared" ca="1" si="190"/>
        <v>-1.3673401981953532</v>
      </c>
      <c r="N405" s="304">
        <f t="shared" ca="1" si="191"/>
        <v>-78.342822515175243</v>
      </c>
      <c r="P405" s="310">
        <f t="shared" ca="1" si="192"/>
        <v>23</v>
      </c>
      <c r="Q405" s="304">
        <f t="shared" ca="1" si="193"/>
        <v>0</v>
      </c>
      <c r="R405" s="306">
        <f t="shared" ca="1" si="194"/>
        <v>0</v>
      </c>
      <c r="S405" s="307">
        <f t="shared" ca="1" si="195"/>
        <v>2.9792999999999985</v>
      </c>
      <c r="T405" s="304">
        <f t="shared" ca="1" si="175"/>
        <v>29.226932999999988</v>
      </c>
      <c r="U405" s="311">
        <f t="shared" ca="1" si="176"/>
        <v>0</v>
      </c>
      <c r="V405" s="306">
        <f t="shared" ca="1" si="177"/>
        <v>1.109943282958489</v>
      </c>
      <c r="W405" s="304">
        <f t="shared" ca="1" si="178"/>
        <v>15.126129085205751</v>
      </c>
      <c r="Y405" s="314" t="str">
        <f t="shared" ca="1" si="196"/>
        <v/>
      </c>
      <c r="Z405" s="315" t="str">
        <f t="shared" ca="1" si="197"/>
        <v/>
      </c>
      <c r="AA405" s="316" t="str">
        <f t="shared" ca="1" si="198"/>
        <v/>
      </c>
      <c r="AC405" s="310" t="e">
        <f t="shared" ca="1" si="199"/>
        <v>#N/A</v>
      </c>
      <c r="AD405" s="323" t="e">
        <f t="shared" ca="1" si="200"/>
        <v>#N/A</v>
      </c>
      <c r="AE405" s="324" t="e">
        <f t="shared" ca="1" si="179"/>
        <v>#N/A</v>
      </c>
      <c r="AG405" s="306">
        <f t="shared" ca="1" si="201"/>
        <v>4.5866495573914401</v>
      </c>
      <c r="AH405" s="304">
        <f t="shared" ca="1" si="202"/>
        <v>-5.0161077630677875</v>
      </c>
    </row>
    <row r="406" spans="1:34" x14ac:dyDescent="0.2">
      <c r="A406" s="347">
        <f t="shared" ca="1" si="180"/>
        <v>0.1</v>
      </c>
      <c r="B406" s="304">
        <f t="shared" ca="1" si="181"/>
        <v>26.800000000000075</v>
      </c>
      <c r="D406" s="306">
        <f t="shared" ca="1" si="182"/>
        <v>-1.025850254805514</v>
      </c>
      <c r="E406" s="307">
        <f t="shared" ca="1" si="183"/>
        <v>-4.8376443977995933</v>
      </c>
      <c r="F406" s="304">
        <f t="shared" ca="1" si="184"/>
        <v>4.9452170897591881</v>
      </c>
      <c r="G406" s="306">
        <f t="shared" ca="1" si="185"/>
        <v>16.38084078484696</v>
      </c>
      <c r="H406" s="307">
        <f t="shared" ca="1" si="186"/>
        <v>-80.379884061035483</v>
      </c>
      <c r="I406" s="304">
        <f t="shared" ca="1" si="187"/>
        <v>82.032052921306388</v>
      </c>
      <c r="J406" s="306">
        <f t="shared" ca="1" si="188"/>
        <v>721.79711899082906</v>
      </c>
      <c r="K406" s="307">
        <f t="shared" ca="1" si="189"/>
        <v>977.5066437705558</v>
      </c>
      <c r="L406" s="304">
        <f t="shared" ca="1" si="174"/>
        <v>1215.1174097999901</v>
      </c>
      <c r="M406" s="306">
        <f t="shared" ca="1" si="190"/>
        <v>-1.3697565282440947</v>
      </c>
      <c r="N406" s="304">
        <f t="shared" ca="1" si="191"/>
        <v>-78.481268028878773</v>
      </c>
      <c r="P406" s="310">
        <f t="shared" ca="1" si="192"/>
        <v>23</v>
      </c>
      <c r="Q406" s="304">
        <f t="shared" ca="1" si="193"/>
        <v>0</v>
      </c>
      <c r="R406" s="306">
        <f t="shared" ca="1" si="194"/>
        <v>0</v>
      </c>
      <c r="S406" s="307">
        <f t="shared" ca="1" si="195"/>
        <v>2.9792999999999985</v>
      </c>
      <c r="T406" s="304">
        <f t="shared" ca="1" si="175"/>
        <v>29.226932999999988</v>
      </c>
      <c r="U406" s="311">
        <f t="shared" ca="1" si="176"/>
        <v>0</v>
      </c>
      <c r="V406" s="306">
        <f t="shared" ca="1" si="177"/>
        <v>1.1108352749968478</v>
      </c>
      <c r="W406" s="304">
        <f t="shared" ca="1" si="178"/>
        <v>15.30698626311524</v>
      </c>
      <c r="Y406" s="314" t="str">
        <f t="shared" ca="1" si="196"/>
        <v/>
      </c>
      <c r="Z406" s="315" t="str">
        <f t="shared" ca="1" si="197"/>
        <v/>
      </c>
      <c r="AA406" s="316" t="str">
        <f t="shared" ca="1" si="198"/>
        <v/>
      </c>
      <c r="AC406" s="310" t="e">
        <f t="shared" ca="1" si="199"/>
        <v>#N/A</v>
      </c>
      <c r="AD406" s="323" t="e">
        <f t="shared" ca="1" si="200"/>
        <v>#N/A</v>
      </c>
      <c r="AE406" s="324" t="e">
        <f t="shared" ca="1" si="179"/>
        <v>#N/A</v>
      </c>
      <c r="AG406" s="306">
        <f t="shared" ca="1" si="201"/>
        <v>4.5305850673021144</v>
      </c>
      <c r="AH406" s="304">
        <f t="shared" ca="1" si="202"/>
        <v>-5.0770748448312553</v>
      </c>
    </row>
    <row r="407" spans="1:34" x14ac:dyDescent="0.2">
      <c r="A407" s="347">
        <f t="shared" ca="1" si="180"/>
        <v>0.1</v>
      </c>
      <c r="B407" s="304">
        <f t="shared" ca="1" si="181"/>
        <v>26.900000000000077</v>
      </c>
      <c r="D407" s="306">
        <f t="shared" ca="1" si="182"/>
        <v>-1.0259544150559556</v>
      </c>
      <c r="E407" s="307">
        <f t="shared" ca="1" si="183"/>
        <v>-4.7756981581561941</v>
      </c>
      <c r="F407" s="304">
        <f t="shared" ca="1" si="184"/>
        <v>4.8846571383864061</v>
      </c>
      <c r="G407" s="306">
        <f t="shared" ca="1" si="185"/>
        <v>16.278245343341364</v>
      </c>
      <c r="H407" s="307">
        <f t="shared" ca="1" si="186"/>
        <v>-80.857453876851096</v>
      </c>
      <c r="I407" s="304">
        <f t="shared" ca="1" si="187"/>
        <v>82.479749750500076</v>
      </c>
      <c r="J407" s="306">
        <f t="shared" ca="1" si="188"/>
        <v>723.43007329723844</v>
      </c>
      <c r="K407" s="307">
        <f t="shared" ca="1" si="189"/>
        <v>969.44477687366145</v>
      </c>
      <c r="L407" s="304">
        <f t="shared" ca="1" si="174"/>
        <v>1209.6173966831293</v>
      </c>
      <c r="M407" s="306">
        <f t="shared" ca="1" si="190"/>
        <v>-1.3721315888156616</v>
      </c>
      <c r="N407" s="304">
        <f t="shared" ca="1" si="191"/>
        <v>-78.617348975717476</v>
      </c>
      <c r="P407" s="310">
        <f t="shared" ca="1" si="192"/>
        <v>23</v>
      </c>
      <c r="Q407" s="304">
        <f t="shared" ca="1" si="193"/>
        <v>0</v>
      </c>
      <c r="R407" s="306">
        <f t="shared" ca="1" si="194"/>
        <v>0</v>
      </c>
      <c r="S407" s="307">
        <f t="shared" ca="1" si="195"/>
        <v>2.9792999999999985</v>
      </c>
      <c r="T407" s="304">
        <f t="shared" ca="1" si="175"/>
        <v>29.226932999999988</v>
      </c>
      <c r="U407" s="311">
        <f t="shared" ca="1" si="176"/>
        <v>0</v>
      </c>
      <c r="V407" s="306">
        <f t="shared" ca="1" si="177"/>
        <v>1.1117333051202238</v>
      </c>
      <c r="W407" s="304">
        <f t="shared" ca="1" si="178"/>
        <v>15.487030548043158</v>
      </c>
      <c r="Y407" s="314" t="str">
        <f t="shared" ca="1" si="196"/>
        <v/>
      </c>
      <c r="Z407" s="315" t="str">
        <f t="shared" ca="1" si="197"/>
        <v/>
      </c>
      <c r="AA407" s="316" t="str">
        <f t="shared" ca="1" si="198"/>
        <v/>
      </c>
      <c r="AC407" s="310" t="e">
        <f t="shared" ca="1" si="199"/>
        <v>#N/A</v>
      </c>
      <c r="AD407" s="323" t="e">
        <f t="shared" ca="1" si="200"/>
        <v>#N/A</v>
      </c>
      <c r="AE407" s="324" t="e">
        <f t="shared" ca="1" si="179"/>
        <v>#N/A</v>
      </c>
      <c r="AG407" s="306">
        <f t="shared" ca="1" si="201"/>
        <v>4.4746419876835093</v>
      </c>
      <c r="AH407" s="304">
        <f t="shared" ca="1" si="202"/>
        <v>-5.1377794324556936</v>
      </c>
    </row>
    <row r="408" spans="1:34" x14ac:dyDescent="0.2">
      <c r="A408" s="347">
        <f t="shared" ca="1" si="180"/>
        <v>0.1</v>
      </c>
      <c r="B408" s="304">
        <f t="shared" ca="1" si="181"/>
        <v>27.000000000000078</v>
      </c>
      <c r="D408" s="306">
        <f t="shared" ca="1" si="182"/>
        <v>-1.0259215998876252</v>
      </c>
      <c r="E408" s="307">
        <f t="shared" ca="1" si="183"/>
        <v>-4.7140325480712111</v>
      </c>
      <c r="F408" s="304">
        <f t="shared" ca="1" si="184"/>
        <v>4.8243774721087842</v>
      </c>
      <c r="G408" s="306">
        <f t="shared" ca="1" si="185"/>
        <v>16.175653183352601</v>
      </c>
      <c r="H408" s="307">
        <f t="shared" ca="1" si="186"/>
        <v>-81.328857131658211</v>
      </c>
      <c r="I408" s="304">
        <f t="shared" ca="1" si="187"/>
        <v>82.921859351137186</v>
      </c>
      <c r="J408" s="306">
        <f t="shared" ca="1" si="188"/>
        <v>725.05276822357314</v>
      </c>
      <c r="K408" s="307">
        <f t="shared" ca="1" si="189"/>
        <v>961.33546132323602</v>
      </c>
      <c r="L408" s="304">
        <f t="shared" ca="1" si="174"/>
        <v>1204.104391614874</v>
      </c>
      <c r="M408" s="306">
        <f t="shared" ca="1" si="190"/>
        <v>-1.3744664476353696</v>
      </c>
      <c r="N408" s="304">
        <f t="shared" ca="1" si="191"/>
        <v>-78.751126531845642</v>
      </c>
      <c r="P408" s="310">
        <f t="shared" ca="1" si="192"/>
        <v>23</v>
      </c>
      <c r="Q408" s="304">
        <f t="shared" ca="1" si="193"/>
        <v>0</v>
      </c>
      <c r="R408" s="306">
        <f t="shared" ca="1" si="194"/>
        <v>0</v>
      </c>
      <c r="S408" s="307">
        <f t="shared" ca="1" si="195"/>
        <v>2.9792999999999985</v>
      </c>
      <c r="T408" s="304">
        <f t="shared" ca="1" si="175"/>
        <v>29.226932999999988</v>
      </c>
      <c r="U408" s="311">
        <f t="shared" ca="1" si="176"/>
        <v>0</v>
      </c>
      <c r="V408" s="306">
        <f t="shared" ca="1" si="177"/>
        <v>1.1126373175465012</v>
      </c>
      <c r="W408" s="304">
        <f t="shared" ca="1" si="178"/>
        <v>15.666232038761075</v>
      </c>
      <c r="Y408" s="314" t="str">
        <f t="shared" ca="1" si="196"/>
        <v/>
      </c>
      <c r="Z408" s="315" t="str">
        <f t="shared" ca="1" si="197"/>
        <v/>
      </c>
      <c r="AA408" s="316" t="str">
        <f t="shared" ca="1" si="198"/>
        <v/>
      </c>
      <c r="AC408" s="310">
        <f t="shared" ca="1" si="199"/>
        <v>27.000000000000078</v>
      </c>
      <c r="AD408" s="323">
        <f t="shared" ca="1" si="200"/>
        <v>725.05276822357314</v>
      </c>
      <c r="AE408" s="324" t="e">
        <f t="shared" ca="1" si="179"/>
        <v>#N/A</v>
      </c>
      <c r="AG408" s="306">
        <f t="shared" ca="1" si="201"/>
        <v>4.4188357375736214</v>
      </c>
      <c r="AH408" s="304">
        <f t="shared" ca="1" si="202"/>
        <v>-5.1982111731088398</v>
      </c>
    </row>
    <row r="409" spans="1:34" x14ac:dyDescent="0.2">
      <c r="A409" s="347">
        <f t="shared" ca="1" si="180"/>
        <v>0.1</v>
      </c>
      <c r="B409" s="304">
        <f t="shared" ca="1" si="181"/>
        <v>27.10000000000008</v>
      </c>
      <c r="D409" s="306">
        <f t="shared" ca="1" si="182"/>
        <v>-1.0257537497538143</v>
      </c>
      <c r="E409" s="307">
        <f t="shared" ca="1" si="183"/>
        <v>-4.6526577140113883</v>
      </c>
      <c r="F409" s="304">
        <f t="shared" ca="1" si="184"/>
        <v>4.7643881620711479</v>
      </c>
      <c r="G409" s="306">
        <f t="shared" ca="1" si="185"/>
        <v>16.073077808377221</v>
      </c>
      <c r="H409" s="307">
        <f t="shared" ca="1" si="186"/>
        <v>-81.794122903059346</v>
      </c>
      <c r="I409" s="304">
        <f t="shared" ca="1" si="187"/>
        <v>83.358397127793467</v>
      </c>
      <c r="J409" s="306">
        <f t="shared" ca="1" si="188"/>
        <v>726.66520477315964</v>
      </c>
      <c r="K409" s="307">
        <f t="shared" ca="1" si="189"/>
        <v>953.17931232150011</v>
      </c>
      <c r="L409" s="304">
        <f t="shared" ca="1" si="174"/>
        <v>1198.5796265854456</v>
      </c>
      <c r="M409" s="306">
        <f t="shared" ca="1" si="190"/>
        <v>-1.376762135448961</v>
      </c>
      <c r="N409" s="304">
        <f t="shared" ca="1" si="191"/>
        <v>-78.882659754644052</v>
      </c>
      <c r="P409" s="310">
        <f t="shared" ca="1" si="192"/>
        <v>23</v>
      </c>
      <c r="Q409" s="304">
        <f t="shared" ca="1" si="193"/>
        <v>0</v>
      </c>
      <c r="R409" s="306">
        <f t="shared" ca="1" si="194"/>
        <v>0</v>
      </c>
      <c r="S409" s="307">
        <f t="shared" ca="1" si="195"/>
        <v>2.9792999999999985</v>
      </c>
      <c r="T409" s="304">
        <f t="shared" ca="1" si="175"/>
        <v>29.226932999999988</v>
      </c>
      <c r="U409" s="311">
        <f t="shared" ca="1" si="176"/>
        <v>0</v>
      </c>
      <c r="V409" s="306">
        <f t="shared" ca="1" si="177"/>
        <v>1.1135472567013061</v>
      </c>
      <c r="W409" s="304">
        <f t="shared" ca="1" si="178"/>
        <v>15.844561772618139</v>
      </c>
      <c r="Y409" s="314" t="str">
        <f t="shared" ca="1" si="196"/>
        <v/>
      </c>
      <c r="Z409" s="315" t="str">
        <f t="shared" ca="1" si="197"/>
        <v/>
      </c>
      <c r="AA409" s="316" t="str">
        <f t="shared" ca="1" si="198"/>
        <v/>
      </c>
      <c r="AC409" s="310" t="e">
        <f t="shared" ca="1" si="199"/>
        <v>#N/A</v>
      </c>
      <c r="AD409" s="323" t="e">
        <f t="shared" ca="1" si="200"/>
        <v>#N/A</v>
      </c>
      <c r="AE409" s="324" t="e">
        <f t="shared" ca="1" si="179"/>
        <v>#N/A</v>
      </c>
      <c r="AG409" s="306">
        <f t="shared" ca="1" si="201"/>
        <v>4.3631811976830308</v>
      </c>
      <c r="AH409" s="304">
        <f t="shared" ca="1" si="202"/>
        <v>-5.2583600304638951</v>
      </c>
    </row>
    <row r="410" spans="1:34" x14ac:dyDescent="0.2">
      <c r="A410" s="347">
        <f t="shared" ca="1" si="180"/>
        <v>0.1</v>
      </c>
      <c r="B410" s="304">
        <f t="shared" ca="1" si="181"/>
        <v>27.200000000000081</v>
      </c>
      <c r="D410" s="306">
        <f t="shared" ca="1" si="182"/>
        <v>-1.0254528285979372</v>
      </c>
      <c r="E410" s="307">
        <f t="shared" ca="1" si="183"/>
        <v>-4.5915834842836567</v>
      </c>
      <c r="F410" s="304">
        <f t="shared" ca="1" si="184"/>
        <v>4.704698969841318</v>
      </c>
      <c r="G410" s="306">
        <f t="shared" ca="1" si="185"/>
        <v>15.970532525517427</v>
      </c>
      <c r="H410" s="307">
        <f t="shared" ca="1" si="186"/>
        <v>-82.253281251487707</v>
      </c>
      <c r="I410" s="304">
        <f t="shared" ca="1" si="187"/>
        <v>83.789379910493125</v>
      </c>
      <c r="J410" s="306">
        <f t="shared" ca="1" si="188"/>
        <v>728.26738528985436</v>
      </c>
      <c r="K410" s="307">
        <f t="shared" ca="1" si="189"/>
        <v>944.97694211377279</v>
      </c>
      <c r="L410" s="304">
        <f t="shared" ca="1" si="174"/>
        <v>1193.0443435193922</v>
      </c>
      <c r="M410" s="306">
        <f t="shared" ca="1" si="190"/>
        <v>-1.379019647575328</v>
      </c>
      <c r="N410" s="304">
        <f t="shared" ca="1" si="191"/>
        <v>-79.012005671684477</v>
      </c>
      <c r="P410" s="310">
        <f t="shared" ca="1" si="192"/>
        <v>23</v>
      </c>
      <c r="Q410" s="304">
        <f t="shared" ca="1" si="193"/>
        <v>0</v>
      </c>
      <c r="R410" s="306">
        <f t="shared" ca="1" si="194"/>
        <v>0</v>
      </c>
      <c r="S410" s="307">
        <f t="shared" ca="1" si="195"/>
        <v>2.9792999999999985</v>
      </c>
      <c r="T410" s="304">
        <f t="shared" ca="1" si="175"/>
        <v>29.226932999999988</v>
      </c>
      <c r="U410" s="311">
        <f t="shared" ca="1" si="176"/>
        <v>0</v>
      </c>
      <c r="V410" s="306">
        <f t="shared" ca="1" si="177"/>
        <v>1.1144630672271778</v>
      </c>
      <c r="W410" s="304">
        <f t="shared" ca="1" si="178"/>
        <v>16.021991720507966</v>
      </c>
      <c r="Y410" s="314" t="str">
        <f t="shared" ca="1" si="196"/>
        <v/>
      </c>
      <c r="Z410" s="315" t="str">
        <f t="shared" ca="1" si="197"/>
        <v/>
      </c>
      <c r="AA410" s="316" t="str">
        <f t="shared" ca="1" si="198"/>
        <v/>
      </c>
      <c r="AC410" s="310" t="e">
        <f t="shared" ca="1" si="199"/>
        <v>#N/A</v>
      </c>
      <c r="AD410" s="323" t="e">
        <f t="shared" ca="1" si="200"/>
        <v>#N/A</v>
      </c>
      <c r="AE410" s="324" t="e">
        <f t="shared" ca="1" si="179"/>
        <v>#N/A</v>
      </c>
      <c r="AG410" s="306">
        <f t="shared" ca="1" si="201"/>
        <v>4.307692723263199</v>
      </c>
      <c r="AH410" s="304">
        <f t="shared" ca="1" si="202"/>
        <v>-5.3182162832269819</v>
      </c>
    </row>
    <row r="411" spans="1:34" x14ac:dyDescent="0.2">
      <c r="A411" s="347">
        <f t="shared" ca="1" si="180"/>
        <v>0.1</v>
      </c>
      <c r="B411" s="304">
        <f t="shared" ca="1" si="181"/>
        <v>27.300000000000082</v>
      </c>
      <c r="D411" s="306">
        <f t="shared" ca="1" si="182"/>
        <v>-1.025020821865946</v>
      </c>
      <c r="E411" s="307">
        <f t="shared" ca="1" si="183"/>
        <v>-4.5308193706215096</v>
      </c>
      <c r="F411" s="304">
        <f t="shared" ca="1" si="184"/>
        <v>4.645319349028421</v>
      </c>
      <c r="G411" s="306">
        <f t="shared" ca="1" si="185"/>
        <v>15.868030443330833</v>
      </c>
      <c r="H411" s="307">
        <f t="shared" ca="1" si="186"/>
        <v>-82.706363188549858</v>
      </c>
      <c r="I411" s="304">
        <f t="shared" ca="1" si="187"/>
        <v>84.214825903915454</v>
      </c>
      <c r="J411" s="306">
        <f t="shared" ca="1" si="188"/>
        <v>729.85931343829679</v>
      </c>
      <c r="K411" s="307">
        <f t="shared" ca="1" si="189"/>
        <v>936.72895989177096</v>
      </c>
      <c r="L411" s="304">
        <f t="shared" ca="1" si="174"/>
        <v>1187.4997944052625</v>
      </c>
      <c r="M411" s="306">
        <f t="shared" ca="1" si="190"/>
        <v>-1.381239945383647</v>
      </c>
      <c r="N411" s="304">
        <f t="shared" ca="1" si="191"/>
        <v>-79.139219365363303</v>
      </c>
      <c r="P411" s="310">
        <f t="shared" ca="1" si="192"/>
        <v>23</v>
      </c>
      <c r="Q411" s="304">
        <f t="shared" ca="1" si="193"/>
        <v>0</v>
      </c>
      <c r="R411" s="306">
        <f t="shared" ca="1" si="194"/>
        <v>0</v>
      </c>
      <c r="S411" s="307">
        <f t="shared" ca="1" si="195"/>
        <v>2.9792999999999985</v>
      </c>
      <c r="T411" s="304">
        <f t="shared" ca="1" si="175"/>
        <v>29.226932999999988</v>
      </c>
      <c r="U411" s="311">
        <f t="shared" ca="1" si="176"/>
        <v>0</v>
      </c>
      <c r="V411" s="306">
        <f t="shared" ca="1" si="177"/>
        <v>1.1153846939924899</v>
      </c>
      <c r="W411" s="304">
        <f t="shared" ca="1" si="178"/>
        <v>16.198494781214741</v>
      </c>
      <c r="Y411" s="314" t="str">
        <f t="shared" ca="1" si="196"/>
        <v/>
      </c>
      <c r="Z411" s="315" t="str">
        <f t="shared" ca="1" si="197"/>
        <v/>
      </c>
      <c r="AA411" s="316" t="str">
        <f t="shared" ca="1" si="198"/>
        <v/>
      </c>
      <c r="AC411" s="310" t="e">
        <f t="shared" ca="1" si="199"/>
        <v>#N/A</v>
      </c>
      <c r="AD411" s="323" t="e">
        <f t="shared" ca="1" si="200"/>
        <v>#N/A</v>
      </c>
      <c r="AE411" s="324" t="e">
        <f t="shared" ca="1" si="179"/>
        <v>#N/A</v>
      </c>
      <c r="AG411" s="306">
        <f t="shared" ca="1" si="201"/>
        <v>4.2523841565254994</v>
      </c>
      <c r="AH411" s="304">
        <f t="shared" ca="1" si="202"/>
        <v>-5.3777705234477811</v>
      </c>
    </row>
    <row r="412" spans="1:34" x14ac:dyDescent="0.2">
      <c r="A412" s="347">
        <f t="shared" ca="1" si="180"/>
        <v>0.1</v>
      </c>
      <c r="B412" s="304">
        <f t="shared" ca="1" si="181"/>
        <v>27.400000000000084</v>
      </c>
      <c r="D412" s="306">
        <f t="shared" ca="1" si="182"/>
        <v>-1.024459734569529</v>
      </c>
      <c r="E412" s="307">
        <f t="shared" ca="1" si="183"/>
        <v>-4.4703745699918516</v>
      </c>
      <c r="F412" s="304">
        <f t="shared" ca="1" si="184"/>
        <v>4.5862584471204952</v>
      </c>
      <c r="G412" s="306">
        <f t="shared" ca="1" si="185"/>
        <v>15.765584469873879</v>
      </c>
      <c r="H412" s="307">
        <f t="shared" ca="1" si="186"/>
        <v>-83.153400645549041</v>
      </c>
      <c r="I412" s="304">
        <f t="shared" ca="1" si="187"/>
        <v>84.634754637772332</v>
      </c>
      <c r="J412" s="306">
        <f t="shared" ca="1" si="188"/>
        <v>731.44099418395706</v>
      </c>
      <c r="K412" s="307">
        <f t="shared" ca="1" si="189"/>
        <v>928.43597170006603</v>
      </c>
      <c r="L412" s="304">
        <f t="shared" ca="1" si="174"/>
        <v>1181.9472414280856</v>
      </c>
      <c r="M412" s="306">
        <f t="shared" ca="1" si="190"/>
        <v>-1.3834239576990692</v>
      </c>
      <c r="N412" s="304">
        <f t="shared" ca="1" si="191"/>
        <v>-79.264354053441593</v>
      </c>
      <c r="P412" s="310">
        <f t="shared" ca="1" si="192"/>
        <v>23</v>
      </c>
      <c r="Q412" s="304">
        <f t="shared" ca="1" si="193"/>
        <v>0</v>
      </c>
      <c r="R412" s="306">
        <f t="shared" ca="1" si="194"/>
        <v>0</v>
      </c>
      <c r="S412" s="307">
        <f t="shared" ca="1" si="195"/>
        <v>2.9792999999999985</v>
      </c>
      <c r="T412" s="304">
        <f t="shared" ca="1" si="175"/>
        <v>29.226932999999988</v>
      </c>
      <c r="U412" s="311">
        <f t="shared" ca="1" si="176"/>
        <v>0</v>
      </c>
      <c r="V412" s="306">
        <f t="shared" ca="1" si="177"/>
        <v>1.1163120821001138</v>
      </c>
      <c r="W412" s="304">
        <f t="shared" ca="1" si="178"/>
        <v>16.374044775163402</v>
      </c>
      <c r="Y412" s="314" t="str">
        <f t="shared" ca="1" si="196"/>
        <v/>
      </c>
      <c r="Z412" s="315" t="str">
        <f t="shared" ca="1" si="197"/>
        <v/>
      </c>
      <c r="AA412" s="316" t="str">
        <f t="shared" ca="1" si="198"/>
        <v/>
      </c>
      <c r="AC412" s="310" t="e">
        <f t="shared" ca="1" si="199"/>
        <v>#N/A</v>
      </c>
      <c r="AD412" s="323" t="e">
        <f t="shared" ca="1" si="200"/>
        <v>#N/A</v>
      </c>
      <c r="AE412" s="324" t="e">
        <f t="shared" ca="1" si="179"/>
        <v>#N/A</v>
      </c>
      <c r="AG412" s="306">
        <f t="shared" ca="1" si="201"/>
        <v>4.1972688386458268</v>
      </c>
      <c r="AH412" s="304">
        <f t="shared" ca="1" si="202"/>
        <v>-5.4370136546218069</v>
      </c>
    </row>
    <row r="413" spans="1:34" x14ac:dyDescent="0.2">
      <c r="A413" s="347">
        <f t="shared" ca="1" si="180"/>
        <v>0.1</v>
      </c>
      <c r="B413" s="304">
        <f t="shared" ca="1" si="181"/>
        <v>27.500000000000085</v>
      </c>
      <c r="D413" s="306">
        <f t="shared" ca="1" si="182"/>
        <v>-1.0237715893997374</v>
      </c>
      <c r="E413" s="307">
        <f t="shared" ca="1" si="183"/>
        <v>-4.4102579666132788</v>
      </c>
      <c r="F413" s="304">
        <f t="shared" ca="1" si="184"/>
        <v>4.5275251075325862</v>
      </c>
      <c r="G413" s="306">
        <f t="shared" ca="1" si="185"/>
        <v>15.663207310933906</v>
      </c>
      <c r="H413" s="307">
        <f t="shared" ca="1" si="186"/>
        <v>-83.594426442210363</v>
      </c>
      <c r="I413" s="304">
        <f t="shared" ca="1" si="187"/>
        <v>85.049186918320459</v>
      </c>
      <c r="J413" s="306">
        <f t="shared" ca="1" si="188"/>
        <v>733.0124337729975</v>
      </c>
      <c r="K413" s="307">
        <f t="shared" ca="1" si="189"/>
        <v>920.0985803456781</v>
      </c>
      <c r="L413" s="304">
        <f t="shared" ca="1" si="174"/>
        <v>1176.3879571042646</v>
      </c>
      <c r="M413" s="306">
        <f t="shared" ca="1" si="190"/>
        <v>-1.3855725821408644</v>
      </c>
      <c r="N413" s="304">
        <f t="shared" ca="1" si="191"/>
        <v>-79.387461165715109</v>
      </c>
      <c r="P413" s="310">
        <f t="shared" ca="1" si="192"/>
        <v>23</v>
      </c>
      <c r="Q413" s="304">
        <f t="shared" ca="1" si="193"/>
        <v>0</v>
      </c>
      <c r="R413" s="306">
        <f t="shared" ca="1" si="194"/>
        <v>0</v>
      </c>
      <c r="S413" s="307">
        <f t="shared" ca="1" si="195"/>
        <v>2.9792999999999985</v>
      </c>
      <c r="T413" s="304">
        <f t="shared" ca="1" si="175"/>
        <v>29.226932999999988</v>
      </c>
      <c r="U413" s="311">
        <f t="shared" ca="1" si="176"/>
        <v>0</v>
      </c>
      <c r="V413" s="306">
        <f t="shared" ca="1" si="177"/>
        <v>1.1172451768958316</v>
      </c>
      <c r="W413" s="304">
        <f t="shared" ca="1" si="178"/>
        <v>16.548616437598966</v>
      </c>
      <c r="Y413" s="314" t="str">
        <f t="shared" ca="1" si="196"/>
        <v/>
      </c>
      <c r="Z413" s="315" t="str">
        <f t="shared" ca="1" si="197"/>
        <v/>
      </c>
      <c r="AA413" s="316" t="str">
        <f t="shared" ca="1" si="198"/>
        <v/>
      </c>
      <c r="AC413" s="310" t="e">
        <f t="shared" ca="1" si="199"/>
        <v>#N/A</v>
      </c>
      <c r="AD413" s="323" t="e">
        <f t="shared" ca="1" si="200"/>
        <v>#N/A</v>
      </c>
      <c r="AE413" s="324" t="e">
        <f t="shared" ca="1" si="179"/>
        <v>#N/A</v>
      </c>
      <c r="AG413" s="306">
        <f t="shared" ca="1" si="201"/>
        <v>4.1423596213867118</v>
      </c>
      <c r="AH413" s="304">
        <f t="shared" ca="1" si="202"/>
        <v>-5.4959368895926595</v>
      </c>
    </row>
    <row r="414" spans="1:34" x14ac:dyDescent="0.2">
      <c r="A414" s="347">
        <f t="shared" ca="1" si="180"/>
        <v>0.1</v>
      </c>
      <c r="B414" s="304">
        <f t="shared" ca="1" si="181"/>
        <v>27.600000000000087</v>
      </c>
      <c r="D414" s="306">
        <f t="shared" ca="1" si="182"/>
        <v>-1.02295842489073</v>
      </c>
      <c r="E414" s="307">
        <f t="shared" ca="1" si="183"/>
        <v>-4.3504781341766723</v>
      </c>
      <c r="F414" s="304">
        <f t="shared" ca="1" si="184"/>
        <v>4.4691278718564611</v>
      </c>
      <c r="G414" s="306">
        <f t="shared" ca="1" si="185"/>
        <v>15.560911468444832</v>
      </c>
      <c r="H414" s="307">
        <f t="shared" ca="1" si="186"/>
        <v>-84.029474255628031</v>
      </c>
      <c r="I414" s="304">
        <f t="shared" ca="1" si="187"/>
        <v>85.458144780974692</v>
      </c>
      <c r="J414" s="306">
        <f t="shared" ca="1" si="188"/>
        <v>734.57363971196639</v>
      </c>
      <c r="K414" s="307">
        <f t="shared" ca="1" si="189"/>
        <v>911.7173853107862</v>
      </c>
      <c r="L414" s="304">
        <f t="shared" ca="1" si="174"/>
        <v>1170.8232244184526</v>
      </c>
      <c r="M414" s="306">
        <f t="shared" ca="1" si="190"/>
        <v>-1.3876866863966857</v>
      </c>
      <c r="N414" s="304">
        <f t="shared" ca="1" si="191"/>
        <v>-79.508590417024323</v>
      </c>
      <c r="P414" s="310">
        <f t="shared" ca="1" si="192"/>
        <v>23</v>
      </c>
      <c r="Q414" s="304">
        <f t="shared" ca="1" si="193"/>
        <v>0</v>
      </c>
      <c r="R414" s="306">
        <f t="shared" ca="1" si="194"/>
        <v>0</v>
      </c>
      <c r="S414" s="307">
        <f t="shared" ca="1" si="195"/>
        <v>2.9792999999999985</v>
      </c>
      <c r="T414" s="304">
        <f t="shared" ca="1" si="175"/>
        <v>29.226932999999988</v>
      </c>
      <c r="U414" s="311">
        <f t="shared" ca="1" si="176"/>
        <v>0</v>
      </c>
      <c r="V414" s="306">
        <f t="shared" ca="1" si="177"/>
        <v>1.1181839239764944</v>
      </c>
      <c r="W414" s="304">
        <f t="shared" ca="1" si="178"/>
        <v>16.722185411219787</v>
      </c>
      <c r="Y414" s="314" t="str">
        <f t="shared" ca="1" si="196"/>
        <v/>
      </c>
      <c r="Z414" s="315" t="str">
        <f t="shared" ca="1" si="197"/>
        <v/>
      </c>
      <c r="AA414" s="316" t="str">
        <f t="shared" ca="1" si="198"/>
        <v/>
      </c>
      <c r="AC414" s="310" t="e">
        <f t="shared" ca="1" si="199"/>
        <v>#N/A</v>
      </c>
      <c r="AD414" s="323" t="e">
        <f t="shared" ca="1" si="200"/>
        <v>#N/A</v>
      </c>
      <c r="AE414" s="324" t="e">
        <f t="shared" ca="1" si="179"/>
        <v>#N/A</v>
      </c>
      <c r="AG414" s="306">
        <f t="shared" ca="1" si="201"/>
        <v>4.0876688783659443</v>
      </c>
      <c r="AH414" s="304">
        <f t="shared" ca="1" si="202"/>
        <v>-5.5545317482626704</v>
      </c>
    </row>
    <row r="415" spans="1:34" x14ac:dyDescent="0.2">
      <c r="A415" s="347">
        <f t="shared" ca="1" si="180"/>
        <v>0.1</v>
      </c>
      <c r="B415" s="304">
        <f t="shared" ca="1" si="181"/>
        <v>27.700000000000088</v>
      </c>
      <c r="D415" s="306">
        <f t="shared" ca="1" si="182"/>
        <v>-1.0220222936332481</v>
      </c>
      <c r="E415" s="307">
        <f t="shared" ca="1" si="183"/>
        <v>-4.2910433382591648</v>
      </c>
      <c r="F415" s="304">
        <f t="shared" ca="1" si="184"/>
        <v>4.411074982303262</v>
      </c>
      <c r="G415" s="306">
        <f t="shared" ca="1" si="185"/>
        <v>15.458709239081507</v>
      </c>
      <c r="H415" s="307">
        <f t="shared" ca="1" si="186"/>
        <v>-84.45857858945395</v>
      </c>
      <c r="I415" s="304">
        <f t="shared" ca="1" si="187"/>
        <v>85.861651443991178</v>
      </c>
      <c r="J415" s="306">
        <f t="shared" ca="1" si="188"/>
        <v>736.12462074734276</v>
      </c>
      <c r="K415" s="307">
        <f t="shared" ca="1" si="189"/>
        <v>903.29298266853209</v>
      </c>
      <c r="L415" s="304">
        <f t="shared" ca="1" si="174"/>
        <v>1165.2543369619493</v>
      </c>
      <c r="M415" s="306">
        <f t="shared" ca="1" si="190"/>
        <v>-1.3897671094363921</v>
      </c>
      <c r="N415" s="304">
        <f t="shared" ca="1" si="191"/>
        <v>-79.627789876801273</v>
      </c>
      <c r="P415" s="310">
        <f t="shared" ca="1" si="192"/>
        <v>23</v>
      </c>
      <c r="Q415" s="304">
        <f t="shared" ca="1" si="193"/>
        <v>0</v>
      </c>
      <c r="R415" s="306">
        <f t="shared" ca="1" si="194"/>
        <v>0</v>
      </c>
      <c r="S415" s="307">
        <f t="shared" ca="1" si="195"/>
        <v>2.9792999999999985</v>
      </c>
      <c r="T415" s="304">
        <f t="shared" ca="1" si="175"/>
        <v>29.226932999999988</v>
      </c>
      <c r="U415" s="311">
        <f t="shared" ca="1" si="176"/>
        <v>0</v>
      </c>
      <c r="V415" s="306">
        <f t="shared" ca="1" si="177"/>
        <v>1.119128269197929</v>
      </c>
      <c r="W415" s="304">
        <f t="shared" ca="1" si="178"/>
        <v>16.894728238289492</v>
      </c>
      <c r="Y415" s="314" t="str">
        <f t="shared" ca="1" si="196"/>
        <v/>
      </c>
      <c r="Z415" s="315" t="str">
        <f t="shared" ca="1" si="197"/>
        <v/>
      </c>
      <c r="AA415" s="316" t="str">
        <f t="shared" ca="1" si="198"/>
        <v/>
      </c>
      <c r="AC415" s="310" t="e">
        <f t="shared" ca="1" si="199"/>
        <v>#N/A</v>
      </c>
      <c r="AD415" s="323" t="e">
        <f t="shared" ca="1" si="200"/>
        <v>#N/A</v>
      </c>
      <c r="AE415" s="324" t="e">
        <f t="shared" ca="1" si="179"/>
        <v>#N/A</v>
      </c>
      <c r="AG415" s="306">
        <f t="shared" ca="1" si="201"/>
        <v>4.0332085159981377</v>
      </c>
      <c r="AH415" s="304">
        <f t="shared" ca="1" si="202"/>
        <v>-5.6127900551202616</v>
      </c>
    </row>
    <row r="416" spans="1:34" x14ac:dyDescent="0.2">
      <c r="A416" s="347">
        <f t="shared" ca="1" si="180"/>
        <v>0.1</v>
      </c>
      <c r="B416" s="304">
        <f t="shared" ca="1" si="181"/>
        <v>27.80000000000009</v>
      </c>
      <c r="D416" s="306">
        <f t="shared" ca="1" si="182"/>
        <v>-1.0209652605375128</v>
      </c>
      <c r="E416" s="307">
        <f t="shared" ca="1" si="183"/>
        <v>-4.2319615389225573</v>
      </c>
      <c r="F416" s="304">
        <f t="shared" ca="1" si="184"/>
        <v>4.3533743843304142</v>
      </c>
      <c r="G416" s="306">
        <f t="shared" ca="1" si="185"/>
        <v>15.356612713027756</v>
      </c>
      <c r="H416" s="307">
        <f t="shared" ca="1" si="186"/>
        <v>-84.881774743346199</v>
      </c>
      <c r="I416" s="304">
        <f t="shared" ca="1" si="187"/>
        <v>86.259731263191924</v>
      </c>
      <c r="J416" s="306">
        <f t="shared" ca="1" si="188"/>
        <v>737.66538684494822</v>
      </c>
      <c r="K416" s="307">
        <f t="shared" ca="1" si="189"/>
        <v>894.82596500189209</v>
      </c>
      <c r="L416" s="304">
        <f t="shared" ca="1" si="174"/>
        <v>1159.6825990721231</v>
      </c>
      <c r="M416" s="306">
        <f t="shared" ca="1" si="190"/>
        <v>-1.3918146626686769</v>
      </c>
      <c r="N416" s="304">
        <f t="shared" ca="1" si="191"/>
        <v>-79.74510603533956</v>
      </c>
      <c r="P416" s="310">
        <f t="shared" ca="1" si="192"/>
        <v>23</v>
      </c>
      <c r="Q416" s="304">
        <f t="shared" ca="1" si="193"/>
        <v>0</v>
      </c>
      <c r="R416" s="306">
        <f t="shared" ca="1" si="194"/>
        <v>0</v>
      </c>
      <c r="S416" s="307">
        <f t="shared" ca="1" si="195"/>
        <v>2.9792999999999985</v>
      </c>
      <c r="T416" s="304">
        <f t="shared" ca="1" si="175"/>
        <v>29.226932999999988</v>
      </c>
      <c r="U416" s="311">
        <f t="shared" ca="1" si="176"/>
        <v>0</v>
      </c>
      <c r="V416" s="306">
        <f t="shared" ca="1" si="177"/>
        <v>1.1200781586825992</v>
      </c>
      <c r="W416" s="304">
        <f t="shared" ca="1" si="178"/>
        <v>17.066222352252296</v>
      </c>
      <c r="Y416" s="314" t="str">
        <f t="shared" ca="1" si="196"/>
        <v/>
      </c>
      <c r="Z416" s="315" t="str">
        <f t="shared" ca="1" si="197"/>
        <v/>
      </c>
      <c r="AA416" s="316" t="str">
        <f t="shared" ca="1" si="198"/>
        <v/>
      </c>
      <c r="AC416" s="310" t="e">
        <f t="shared" ca="1" si="199"/>
        <v>#N/A</v>
      </c>
      <c r="AD416" s="323" t="e">
        <f t="shared" ca="1" si="200"/>
        <v>#N/A</v>
      </c>
      <c r="AE416" s="324" t="e">
        <f t="shared" ca="1" si="179"/>
        <v>#N/A</v>
      </c>
      <c r="AG416" s="306">
        <f t="shared" ca="1" si="201"/>
        <v>3.9789899841332934</v>
      </c>
      <c r="AH416" s="304">
        <f t="shared" ca="1" si="202"/>
        <v>-5.6707039365923206</v>
      </c>
    </row>
    <row r="417" spans="1:34" x14ac:dyDescent="0.2">
      <c r="A417" s="347">
        <f t="shared" ca="1" si="180"/>
        <v>0.1</v>
      </c>
      <c r="B417" s="304">
        <f t="shared" ca="1" si="181"/>
        <v>27.900000000000091</v>
      </c>
      <c r="D417" s="306">
        <f t="shared" ca="1" si="182"/>
        <v>-1.0197894011451429</v>
      </c>
      <c r="E417" s="307">
        <f t="shared" ca="1" si="183"/>
        <v>-4.1732403934873235</v>
      </c>
      <c r="F417" s="304">
        <f t="shared" ca="1" si="184"/>
        <v>4.2960337294441953</v>
      </c>
      <c r="G417" s="306">
        <f t="shared" ca="1" si="185"/>
        <v>15.254633772913241</v>
      </c>
      <c r="H417" s="307">
        <f t="shared" ca="1" si="186"/>
        <v>-85.299098782694927</v>
      </c>
      <c r="I417" s="304">
        <f t="shared" ca="1" si="187"/>
        <v>86.652409687703738</v>
      </c>
      <c r="J417" s="306">
        <f t="shared" ca="1" si="188"/>
        <v>739.1959491692453</v>
      </c>
      <c r="K417" s="307">
        <f t="shared" ca="1" si="189"/>
        <v>886.31692132558999</v>
      </c>
      <c r="L417" s="304">
        <f t="shared" ca="1" si="174"/>
        <v>1154.1093259723245</v>
      </c>
      <c r="M417" s="306">
        <f t="shared" ca="1" si="190"/>
        <v>-1.3938301310435428</v>
      </c>
      <c r="N417" s="304">
        <f t="shared" ca="1" si="191"/>
        <v>-79.860583866961463</v>
      </c>
      <c r="P417" s="310">
        <f t="shared" ca="1" si="192"/>
        <v>23</v>
      </c>
      <c r="Q417" s="304">
        <f t="shared" ca="1" si="193"/>
        <v>0</v>
      </c>
      <c r="R417" s="306">
        <f t="shared" ca="1" si="194"/>
        <v>0</v>
      </c>
      <c r="S417" s="307">
        <f t="shared" ca="1" si="195"/>
        <v>2.9792999999999985</v>
      </c>
      <c r="T417" s="304">
        <f t="shared" ca="1" si="175"/>
        <v>29.226932999999988</v>
      </c>
      <c r="U417" s="311">
        <f t="shared" ca="1" si="176"/>
        <v>0</v>
      </c>
      <c r="V417" s="306">
        <f t="shared" ca="1" si="177"/>
        <v>1.1210335388270132</v>
      </c>
      <c r="W417" s="304">
        <f t="shared" ca="1" si="178"/>
        <v>17.236646068875991</v>
      </c>
      <c r="Y417" s="314" t="str">
        <f t="shared" ca="1" si="196"/>
        <v/>
      </c>
      <c r="Z417" s="315" t="str">
        <f t="shared" ca="1" si="197"/>
        <v/>
      </c>
      <c r="AA417" s="316" t="str">
        <f t="shared" ca="1" si="198"/>
        <v/>
      </c>
      <c r="AC417" s="310" t="e">
        <f t="shared" ca="1" si="199"/>
        <v>#N/A</v>
      </c>
      <c r="AD417" s="323" t="e">
        <f t="shared" ca="1" si="200"/>
        <v>#N/A</v>
      </c>
      <c r="AE417" s="324" t="e">
        <f t="shared" ca="1" si="179"/>
        <v>#N/A</v>
      </c>
      <c r="AG417" s="306">
        <f t="shared" ca="1" si="201"/>
        <v>3.9250242864141693</v>
      </c>
      <c r="AH417" s="304">
        <f t="shared" ca="1" si="202"/>
        <v>-5.7282658182298878</v>
      </c>
    </row>
    <row r="418" spans="1:34" x14ac:dyDescent="0.2">
      <c r="A418" s="347">
        <f t="shared" ca="1" si="180"/>
        <v>0.1</v>
      </c>
      <c r="B418" s="304">
        <f t="shared" ca="1" si="181"/>
        <v>28.000000000000092</v>
      </c>
      <c r="D418" s="306">
        <f t="shared" ca="1" si="182"/>
        <v>-1.0184967999897434</v>
      </c>
      <c r="E418" s="307">
        <f t="shared" ca="1" si="183"/>
        <v>-4.1148872594735169</v>
      </c>
      <c r="F418" s="304">
        <f t="shared" ca="1" si="184"/>
        <v>4.2390603781695324</v>
      </c>
      <c r="G418" s="306">
        <f t="shared" ca="1" si="185"/>
        <v>15.152784092914267</v>
      </c>
      <c r="H418" s="307">
        <f t="shared" ca="1" si="186"/>
        <v>-85.710587508642277</v>
      </c>
      <c r="I418" s="304">
        <f t="shared" ca="1" si="187"/>
        <v>87.039713216686906</v>
      </c>
      <c r="J418" s="306">
        <f t="shared" ca="1" si="188"/>
        <v>740.71632006253662</v>
      </c>
      <c r="K418" s="307">
        <f t="shared" ca="1" si="189"/>
        <v>877.76643701102307</v>
      </c>
      <c r="L418" s="304">
        <f t="shared" ca="1" si="174"/>
        <v>1148.5358439117224</v>
      </c>
      <c r="M418" s="306">
        <f t="shared" ca="1" si="190"/>
        <v>-1.3958142741034962</v>
      </c>
      <c r="N418" s="304">
        <f t="shared" ca="1" si="191"/>
        <v>-79.97426689024698</v>
      </c>
      <c r="P418" s="310">
        <f t="shared" ca="1" si="192"/>
        <v>23</v>
      </c>
      <c r="Q418" s="304">
        <f t="shared" ca="1" si="193"/>
        <v>0</v>
      </c>
      <c r="R418" s="306">
        <f t="shared" ca="1" si="194"/>
        <v>0</v>
      </c>
      <c r="S418" s="307">
        <f t="shared" ca="1" si="195"/>
        <v>2.9792999999999985</v>
      </c>
      <c r="T418" s="304">
        <f t="shared" ca="1" si="175"/>
        <v>29.226932999999988</v>
      </c>
      <c r="U418" s="311">
        <f t="shared" ca="1" si="176"/>
        <v>0</v>
      </c>
      <c r="V418" s="306">
        <f t="shared" ca="1" si="177"/>
        <v>1.1219943563088886</v>
      </c>
      <c r="W418" s="304">
        <f t="shared" ca="1" si="178"/>
        <v>17.405978576946829</v>
      </c>
      <c r="Y418" s="314" t="str">
        <f t="shared" ca="1" si="196"/>
        <v/>
      </c>
      <c r="Z418" s="315" t="str">
        <f t="shared" ca="1" si="197"/>
        <v/>
      </c>
      <c r="AA418" s="316" t="str">
        <f t="shared" ca="1" si="198"/>
        <v/>
      </c>
      <c r="AC418" s="310">
        <f t="shared" ca="1" si="199"/>
        <v>28.000000000000092</v>
      </c>
      <c r="AD418" s="323">
        <f t="shared" ca="1" si="200"/>
        <v>740.71632006253662</v>
      </c>
      <c r="AE418" s="324" t="e">
        <f t="shared" ca="1" si="179"/>
        <v>#N/A</v>
      </c>
      <c r="AG418" s="306">
        <f t="shared" ca="1" si="201"/>
        <v>3.8713219903722953</v>
      </c>
      <c r="AH418" s="304">
        <f t="shared" ca="1" si="202"/>
        <v>-5.785468421735307</v>
      </c>
    </row>
    <row r="419" spans="1:34" x14ac:dyDescent="0.2">
      <c r="A419" s="347">
        <f t="shared" ca="1" si="180"/>
        <v>0.1</v>
      </c>
      <c r="B419" s="304">
        <f t="shared" ca="1" si="181"/>
        <v>28.100000000000094</v>
      </c>
      <c r="D419" s="306">
        <f t="shared" ca="1" si="182"/>
        <v>-1.0170895490057603</v>
      </c>
      <c r="E419" s="307">
        <f t="shared" ca="1" si="183"/>
        <v>-4.056909197699941</v>
      </c>
      <c r="F419" s="304">
        <f t="shared" ca="1" si="184"/>
        <v>4.1824614031786496</v>
      </c>
      <c r="G419" s="306">
        <f t="shared" ca="1" si="185"/>
        <v>15.05107513801369</v>
      </c>
      <c r="H419" s="307">
        <f t="shared" ca="1" si="186"/>
        <v>-86.116278428412272</v>
      </c>
      <c r="I419" s="304">
        <f t="shared" ca="1" si="187"/>
        <v>87.421669357030467</v>
      </c>
      <c r="J419" s="306">
        <f t="shared" ca="1" si="188"/>
        <v>742.22651302408303</v>
      </c>
      <c r="K419" s="307">
        <f t="shared" ca="1" si="189"/>
        <v>869.17509371417032</v>
      </c>
      <c r="L419" s="304">
        <f t="shared" ca="1" si="174"/>
        <v>1142.963490304448</v>
      </c>
      <c r="M419" s="306">
        <f t="shared" ca="1" si="190"/>
        <v>-1.3977678269861604</v>
      </c>
      <c r="N419" s="304">
        <f t="shared" ca="1" si="191"/>
        <v>-80.086197225479253</v>
      </c>
      <c r="P419" s="310">
        <f t="shared" ca="1" si="192"/>
        <v>23</v>
      </c>
      <c r="Q419" s="304">
        <f t="shared" ca="1" si="193"/>
        <v>0</v>
      </c>
      <c r="R419" s="306">
        <f t="shared" ca="1" si="194"/>
        <v>0</v>
      </c>
      <c r="S419" s="307">
        <f t="shared" ca="1" si="195"/>
        <v>2.9792999999999985</v>
      </c>
      <c r="T419" s="304">
        <f t="shared" ca="1" si="175"/>
        <v>29.226932999999988</v>
      </c>
      <c r="U419" s="311">
        <f t="shared" ca="1" si="176"/>
        <v>0</v>
      </c>
      <c r="V419" s="306">
        <f t="shared" ca="1" si="177"/>
        <v>1.1229605580940707</v>
      </c>
      <c r="W419" s="304">
        <f t="shared" ca="1" si="178"/>
        <v>17.574199928540221</v>
      </c>
      <c r="Y419" s="314" t="str">
        <f t="shared" ca="1" si="196"/>
        <v/>
      </c>
      <c r="Z419" s="315" t="str">
        <f t="shared" ca="1" si="197"/>
        <v/>
      </c>
      <c r="AA419" s="316" t="str">
        <f t="shared" ca="1" si="198"/>
        <v/>
      </c>
      <c r="AC419" s="310" t="e">
        <f t="shared" ca="1" si="199"/>
        <v>#N/A</v>
      </c>
      <c r="AD419" s="323" t="e">
        <f t="shared" ca="1" si="200"/>
        <v>#N/A</v>
      </c>
      <c r="AE419" s="324" t="e">
        <f t="shared" ca="1" si="179"/>
        <v>#N/A</v>
      </c>
      <c r="AG419" s="306">
        <f t="shared" ca="1" si="201"/>
        <v>3.8178932372806118</v>
      </c>
      <c r="AH419" s="304">
        <f t="shared" ca="1" si="202"/>
        <v>-5.8423047618389683</v>
      </c>
    </row>
    <row r="420" spans="1:34" x14ac:dyDescent="0.2">
      <c r="A420" s="347">
        <f t="shared" ca="1" si="180"/>
        <v>0.1</v>
      </c>
      <c r="B420" s="304">
        <f t="shared" ca="1" si="181"/>
        <v>28.200000000000095</v>
      </c>
      <c r="D420" s="306">
        <f t="shared" ca="1" si="182"/>
        <v>-1.0155697459851969</v>
      </c>
      <c r="E420" s="307">
        <f t="shared" ca="1" si="183"/>
        <v>-3.9993129755330559</v>
      </c>
      <c r="F420" s="304">
        <f t="shared" ca="1" si="184"/>
        <v>4.1262435925703054</v>
      </c>
      <c r="G420" s="306">
        <f t="shared" ca="1" si="185"/>
        <v>14.949518163415171</v>
      </c>
      <c r="H420" s="307">
        <f t="shared" ca="1" si="186"/>
        <v>-86.516209725965581</v>
      </c>
      <c r="I420" s="304">
        <f t="shared" ca="1" si="187"/>
        <v>87.798306581992463</v>
      </c>
      <c r="J420" s="306">
        <f t="shared" ca="1" si="188"/>
        <v>743.72654268915448</v>
      </c>
      <c r="K420" s="307">
        <f t="shared" ca="1" si="189"/>
        <v>860.54346930645147</v>
      </c>
      <c r="L420" s="304">
        <f t="shared" ca="1" si="174"/>
        <v>1137.393613867401</v>
      </c>
      <c r="M420" s="306">
        <f t="shared" ca="1" si="190"/>
        <v>-1.3996915013808497</v>
      </c>
      <c r="N420" s="304">
        <f t="shared" ca="1" si="191"/>
        <v>-80.196415649452334</v>
      </c>
      <c r="P420" s="310">
        <f t="shared" ca="1" si="192"/>
        <v>23</v>
      </c>
      <c r="Q420" s="304">
        <f t="shared" ca="1" si="193"/>
        <v>0</v>
      </c>
      <c r="R420" s="306">
        <f t="shared" ca="1" si="194"/>
        <v>0</v>
      </c>
      <c r="S420" s="307">
        <f t="shared" ca="1" si="195"/>
        <v>2.9792999999999985</v>
      </c>
      <c r="T420" s="304">
        <f t="shared" ca="1" si="175"/>
        <v>29.226932999999988</v>
      </c>
      <c r="U420" s="311">
        <f t="shared" ca="1" si="176"/>
        <v>0</v>
      </c>
      <c r="V420" s="306">
        <f t="shared" ca="1" si="177"/>
        <v>1.12393209144321</v>
      </c>
      <c r="W420" s="304">
        <f t="shared" ca="1" si="178"/>
        <v>17.741291028890917</v>
      </c>
      <c r="Y420" s="314" t="str">
        <f t="shared" ca="1" si="196"/>
        <v/>
      </c>
      <c r="Z420" s="315" t="str">
        <f t="shared" ca="1" si="197"/>
        <v/>
      </c>
      <c r="AA420" s="316" t="str">
        <f t="shared" ca="1" si="198"/>
        <v/>
      </c>
      <c r="AC420" s="310" t="e">
        <f t="shared" ca="1" si="199"/>
        <v>#N/A</v>
      </c>
      <c r="AD420" s="323" t="e">
        <f t="shared" ca="1" si="200"/>
        <v>#N/A</v>
      </c>
      <c r="AE420" s="324" t="e">
        <f t="shared" ca="1" si="179"/>
        <v>#N/A</v>
      </c>
      <c r="AG420" s="306">
        <f t="shared" ca="1" si="201"/>
        <v>3.7647477517790273</v>
      </c>
      <c r="AH420" s="304">
        <f t="shared" ca="1" si="202"/>
        <v>-5.8987681430336751</v>
      </c>
    </row>
    <row r="421" spans="1:34" x14ac:dyDescent="0.2">
      <c r="A421" s="347">
        <f t="shared" ca="1" si="180"/>
        <v>0.1</v>
      </c>
      <c r="B421" s="304">
        <f t="shared" ca="1" si="181"/>
        <v>28.300000000000097</v>
      </c>
      <c r="D421" s="306">
        <f t="shared" ca="1" si="182"/>
        <v>-1.0139394930817762</v>
      </c>
      <c r="E421" s="307">
        <f t="shared" ca="1" si="183"/>
        <v>-3.9421050702772371</v>
      </c>
      <c r="F421" s="304">
        <f t="shared" ca="1" si="184"/>
        <v>4.0704134532914997</v>
      </c>
      <c r="G421" s="306">
        <f t="shared" ca="1" si="185"/>
        <v>14.848124214106994</v>
      </c>
      <c r="H421" s="307">
        <f t="shared" ca="1" si="186"/>
        <v>-86.910420232993303</v>
      </c>
      <c r="I421" s="304">
        <f t="shared" ca="1" si="187"/>
        <v>88.169654290765152</v>
      </c>
      <c r="J421" s="306">
        <f t="shared" ca="1" si="188"/>
        <v>745.21642480803064</v>
      </c>
      <c r="K421" s="307">
        <f t="shared" ca="1" si="189"/>
        <v>851.87213780850357</v>
      </c>
      <c r="L421" s="304">
        <f t="shared" ca="1" si="174"/>
        <v>1131.8275747560197</v>
      </c>
      <c r="M421" s="306">
        <f t="shared" ca="1" si="190"/>
        <v>-1.4015859864415019</v>
      </c>
      <c r="N421" s="304">
        <f t="shared" ca="1" si="191"/>
        <v>-80.304961647778285</v>
      </c>
      <c r="P421" s="310">
        <f t="shared" ca="1" si="192"/>
        <v>23</v>
      </c>
      <c r="Q421" s="304">
        <f t="shared" ca="1" si="193"/>
        <v>0</v>
      </c>
      <c r="R421" s="306">
        <f t="shared" ca="1" si="194"/>
        <v>0</v>
      </c>
      <c r="S421" s="307">
        <f t="shared" ca="1" si="195"/>
        <v>2.9792999999999985</v>
      </c>
      <c r="T421" s="304">
        <f t="shared" ca="1" si="175"/>
        <v>29.226932999999988</v>
      </c>
      <c r="U421" s="311">
        <f t="shared" ca="1" si="176"/>
        <v>0</v>
      </c>
      <c r="V421" s="306">
        <f t="shared" ca="1" si="177"/>
        <v>1.1249089039181985</v>
      </c>
      <c r="W421" s="304">
        <f t="shared" ca="1" si="178"/>
        <v>17.90723362588594</v>
      </c>
      <c r="Y421" s="314" t="str">
        <f t="shared" ca="1" si="196"/>
        <v/>
      </c>
      <c r="Z421" s="315" t="str">
        <f t="shared" ca="1" si="197"/>
        <v/>
      </c>
      <c r="AA421" s="316" t="str">
        <f t="shared" ca="1" si="198"/>
        <v/>
      </c>
      <c r="AC421" s="310" t="e">
        <f t="shared" ca="1" si="199"/>
        <v>#N/A</v>
      </c>
      <c r="AD421" s="323" t="e">
        <f t="shared" ca="1" si="200"/>
        <v>#N/A</v>
      </c>
      <c r="AE421" s="324" t="e">
        <f t="shared" ca="1" si="179"/>
        <v>#N/A</v>
      </c>
      <c r="AG421" s="306">
        <f t="shared" ca="1" si="201"/>
        <v>3.7118948512875978</v>
      </c>
      <c r="AH421" s="304">
        <f t="shared" ca="1" si="202"/>
        <v>-5.9548521561745797</v>
      </c>
    </row>
    <row r="422" spans="1:34" x14ac:dyDescent="0.2">
      <c r="A422" s="347">
        <f t="shared" ca="1" si="180"/>
        <v>0.1</v>
      </c>
      <c r="B422" s="304">
        <f t="shared" ca="1" si="181"/>
        <v>28.400000000000098</v>
      </c>
      <c r="D422" s="306">
        <f t="shared" ca="1" si="182"/>
        <v>-1.0122008953620989</v>
      </c>
      <c r="E422" s="307">
        <f t="shared" ca="1" si="183"/>
        <v>-3.8852916726981421</v>
      </c>
      <c r="F422" s="304">
        <f t="shared" ca="1" si="184"/>
        <v>4.0149772146936726</v>
      </c>
      <c r="G422" s="306">
        <f t="shared" ca="1" si="185"/>
        <v>14.746904124570785</v>
      </c>
      <c r="H422" s="307">
        <f t="shared" ca="1" si="186"/>
        <v>-87.298949400263112</v>
      </c>
      <c r="I422" s="304">
        <f t="shared" ca="1" si="187"/>
        <v>88.535742768946051</v>
      </c>
      <c r="J422" s="306">
        <f t="shared" ca="1" si="188"/>
        <v>746.69617622496457</v>
      </c>
      <c r="K422" s="307">
        <f t="shared" ca="1" si="189"/>
        <v>843.16166932684075</v>
      </c>
      <c r="L422" s="304">
        <f t="shared" ca="1" si="174"/>
        <v>1126.26674469728</v>
      </c>
      <c r="M422" s="306">
        <f t="shared" ca="1" si="190"/>
        <v>-1.4034519496582256</v>
      </c>
      <c r="N422" s="304">
        <f t="shared" ca="1" si="191"/>
        <v>-80.411873464823202</v>
      </c>
      <c r="P422" s="310">
        <f t="shared" ca="1" si="192"/>
        <v>23</v>
      </c>
      <c r="Q422" s="304">
        <f t="shared" ca="1" si="193"/>
        <v>0</v>
      </c>
      <c r="R422" s="306">
        <f t="shared" ca="1" si="194"/>
        <v>0</v>
      </c>
      <c r="S422" s="307">
        <f t="shared" ca="1" si="195"/>
        <v>2.9792999999999985</v>
      </c>
      <c r="T422" s="304">
        <f t="shared" ca="1" si="175"/>
        <v>29.226932999999988</v>
      </c>
      <c r="U422" s="311">
        <f t="shared" ca="1" si="176"/>
        <v>0</v>
      </c>
      <c r="V422" s="306">
        <f t="shared" ca="1" si="177"/>
        <v>1.1258909433883657</v>
      </c>
      <c r="W422" s="304">
        <f t="shared" ca="1" si="178"/>
        <v>18.072010299203232</v>
      </c>
      <c r="Y422" s="314" t="str">
        <f t="shared" ca="1" si="196"/>
        <v/>
      </c>
      <c r="Z422" s="315" t="str">
        <f t="shared" ca="1" si="197"/>
        <v/>
      </c>
      <c r="AA422" s="316" t="str">
        <f t="shared" ca="1" si="198"/>
        <v/>
      </c>
      <c r="AC422" s="310" t="e">
        <f t="shared" ca="1" si="199"/>
        <v>#N/A</v>
      </c>
      <c r="AD422" s="323" t="e">
        <f t="shared" ca="1" si="200"/>
        <v>#N/A</v>
      </c>
      <c r="AE422" s="324" t="e">
        <f t="shared" ca="1" si="179"/>
        <v>#N/A</v>
      </c>
      <c r="AG422" s="306">
        <f t="shared" ca="1" si="201"/>
        <v>3.659343455220645</v>
      </c>
      <c r="AH422" s="304">
        <f t="shared" ca="1" si="202"/>
        <v>-6.0105506749524888</v>
      </c>
    </row>
    <row r="423" spans="1:34" x14ac:dyDescent="0.2">
      <c r="A423" s="347">
        <f t="shared" ca="1" si="180"/>
        <v>0.1</v>
      </c>
      <c r="B423" s="304">
        <f t="shared" ca="1" si="181"/>
        <v>28.500000000000099</v>
      </c>
      <c r="D423" s="306">
        <f t="shared" ca="1" si="182"/>
        <v>-1.0103560594033385</v>
      </c>
      <c r="E423" s="307">
        <f t="shared" ca="1" si="183"/>
        <v>-3.8288786906710524</v>
      </c>
      <c r="F423" s="304">
        <f t="shared" ca="1" si="184"/>
        <v>3.9599408322155414</v>
      </c>
      <c r="G423" s="306">
        <f t="shared" ca="1" si="185"/>
        <v>14.645868518630451</v>
      </c>
      <c r="H423" s="307">
        <f t="shared" ca="1" si="186"/>
        <v>-87.681837269330217</v>
      </c>
      <c r="I423" s="304">
        <f t="shared" ca="1" si="187"/>
        <v>88.896603149897217</v>
      </c>
      <c r="J423" s="306">
        <f t="shared" ca="1" si="188"/>
        <v>748.16581485712459</v>
      </c>
      <c r="K423" s="307">
        <f t="shared" ca="1" si="189"/>
        <v>834.41262999336107</v>
      </c>
      <c r="L423" s="304">
        <f t="shared" ca="1" si="174"/>
        <v>1120.7125071191376</v>
      </c>
      <c r="M423" s="306">
        <f t="shared" ca="1" si="190"/>
        <v>-1.40529003768959</v>
      </c>
      <c r="N423" s="304">
        <f t="shared" ca="1" si="191"/>
        <v>-80.517188151393896</v>
      </c>
      <c r="P423" s="310">
        <f t="shared" ca="1" si="192"/>
        <v>23</v>
      </c>
      <c r="Q423" s="304">
        <f t="shared" ca="1" si="193"/>
        <v>0</v>
      </c>
      <c r="R423" s="306">
        <f t="shared" ca="1" si="194"/>
        <v>0</v>
      </c>
      <c r="S423" s="307">
        <f t="shared" ca="1" si="195"/>
        <v>2.9792999999999985</v>
      </c>
      <c r="T423" s="304">
        <f t="shared" ca="1" si="175"/>
        <v>29.226932999999988</v>
      </c>
      <c r="U423" s="311">
        <f t="shared" ca="1" si="176"/>
        <v>0</v>
      </c>
      <c r="V423" s="306">
        <f t="shared" ca="1" si="177"/>
        <v>1.1268781580364438</v>
      </c>
      <c r="W423" s="304">
        <f t="shared" ca="1" si="178"/>
        <v>18.235604449118739</v>
      </c>
      <c r="Y423" s="314" t="str">
        <f t="shared" ca="1" si="196"/>
        <v/>
      </c>
      <c r="Z423" s="315" t="str">
        <f t="shared" ca="1" si="197"/>
        <v/>
      </c>
      <c r="AA423" s="316" t="str">
        <f t="shared" ca="1" si="198"/>
        <v/>
      </c>
      <c r="AC423" s="310" t="e">
        <f t="shared" ca="1" si="199"/>
        <v>#N/A</v>
      </c>
      <c r="AD423" s="323" t="e">
        <f t="shared" ca="1" si="200"/>
        <v>#N/A</v>
      </c>
      <c r="AE423" s="324" t="e">
        <f t="shared" ca="1" si="179"/>
        <v>#N/A</v>
      </c>
      <c r="AG423" s="306">
        <f t="shared" ca="1" si="201"/>
        <v>3.6071020940138601</v>
      </c>
      <c r="AH423" s="304">
        <f t="shared" ca="1" si="202"/>
        <v>-6.0658578522482598</v>
      </c>
    </row>
    <row r="424" spans="1:34" x14ac:dyDescent="0.2">
      <c r="A424" s="347">
        <f t="shared" ca="1" si="180"/>
        <v>0.1</v>
      </c>
      <c r="B424" s="304">
        <f t="shared" ca="1" si="181"/>
        <v>28.600000000000101</v>
      </c>
      <c r="D424" s="306">
        <f t="shared" ca="1" si="182"/>
        <v>-1.0084070919370167</v>
      </c>
      <c r="E424" s="307">
        <f t="shared" ca="1" si="183"/>
        <v>-3.7728717529461884</v>
      </c>
      <c r="F424" s="304">
        <f t="shared" ca="1" si="184"/>
        <v>3.9053099911848377</v>
      </c>
      <c r="G424" s="306">
        <f t="shared" ca="1" si="185"/>
        <v>14.54502780943675</v>
      </c>
      <c r="H424" s="307">
        <f t="shared" ca="1" si="186"/>
        <v>-88.059124444624842</v>
      </c>
      <c r="I424" s="304">
        <f t="shared" ca="1" si="187"/>
        <v>89.252267376975993</v>
      </c>
      <c r="J424" s="306">
        <f t="shared" ca="1" si="188"/>
        <v>749.6253596735279</v>
      </c>
      <c r="K424" s="307">
        <f t="shared" ca="1" si="189"/>
        <v>825.62558190766333</v>
      </c>
      <c r="L424" s="304">
        <f t="shared" ca="1" si="174"/>
        <v>1115.166257275584</v>
      </c>
      <c r="M424" s="306">
        <f t="shared" ca="1" si="190"/>
        <v>-1.4071008771576654</v>
      </c>
      <c r="N424" s="304">
        <f t="shared" ca="1" si="191"/>
        <v>-80.62094161029033</v>
      </c>
      <c r="P424" s="310">
        <f t="shared" ca="1" si="192"/>
        <v>23</v>
      </c>
      <c r="Q424" s="304">
        <f t="shared" ca="1" si="193"/>
        <v>0</v>
      </c>
      <c r="R424" s="306">
        <f t="shared" ca="1" si="194"/>
        <v>0</v>
      </c>
      <c r="S424" s="307">
        <f t="shared" ca="1" si="195"/>
        <v>2.9792999999999985</v>
      </c>
      <c r="T424" s="304">
        <f t="shared" ca="1" si="175"/>
        <v>29.226932999999988</v>
      </c>
      <c r="U424" s="311">
        <f t="shared" ca="1" si="176"/>
        <v>0</v>
      </c>
      <c r="V424" s="306">
        <f t="shared" ca="1" si="177"/>
        <v>1.1278704963642927</v>
      </c>
      <c r="W424" s="304">
        <f t="shared" ca="1" si="178"/>
        <v>18.398000285004024</v>
      </c>
      <c r="Y424" s="314" t="str">
        <f t="shared" ca="1" si="196"/>
        <v/>
      </c>
      <c r="Z424" s="315" t="str">
        <f t="shared" ca="1" si="197"/>
        <v/>
      </c>
      <c r="AA424" s="316" t="str">
        <f t="shared" ca="1" si="198"/>
        <v/>
      </c>
      <c r="AC424" s="310" t="e">
        <f t="shared" ca="1" si="199"/>
        <v>#N/A</v>
      </c>
      <c r="AD424" s="323" t="e">
        <f t="shared" ca="1" si="200"/>
        <v>#N/A</v>
      </c>
      <c r="AE424" s="324" t="e">
        <f t="shared" ca="1" si="179"/>
        <v>#N/A</v>
      </c>
      <c r="AG424" s="306">
        <f t="shared" ca="1" si="201"/>
        <v>3.5551789179751339</v>
      </c>
      <c r="AH424" s="304">
        <f t="shared" ca="1" si="202"/>
        <v>-6.1207681163759098</v>
      </c>
    </row>
    <row r="425" spans="1:34" x14ac:dyDescent="0.2">
      <c r="A425" s="347">
        <f t="shared" ca="1" si="180"/>
        <v>0.1</v>
      </c>
      <c r="B425" s="304">
        <f t="shared" ca="1" si="181"/>
        <v>28.700000000000102</v>
      </c>
      <c r="D425" s="306">
        <f t="shared" ca="1" si="182"/>
        <v>-1.0063560985383326</v>
      </c>
      <c r="E425" s="307">
        <f t="shared" ca="1" si="183"/>
        <v>-3.7172762130232115</v>
      </c>
      <c r="F425" s="304">
        <f t="shared" ca="1" si="184"/>
        <v>3.8510901107314384</v>
      </c>
      <c r="G425" s="306">
        <f t="shared" ca="1" si="185"/>
        <v>14.444392199582916</v>
      </c>
      <c r="H425" s="307">
        <f t="shared" ca="1" si="186"/>
        <v>-88.430852065927169</v>
      </c>
      <c r="I425" s="304">
        <f t="shared" ca="1" si="187"/>
        <v>89.602768166621217</v>
      </c>
      <c r="J425" s="306">
        <f t="shared" ca="1" si="188"/>
        <v>751.07483067397891</v>
      </c>
      <c r="K425" s="307">
        <f t="shared" ca="1" si="189"/>
        <v>816.80108308213573</v>
      </c>
      <c r="L425" s="304">
        <f t="shared" ca="1" si="174"/>
        <v>1109.629402366437</v>
      </c>
      <c r="M425" s="306">
        <f t="shared" ca="1" si="190"/>
        <v>-1.4088850754077065</v>
      </c>
      <c r="N425" s="304">
        <f t="shared" ca="1" si="191"/>
        <v>-80.723168639832309</v>
      </c>
      <c r="P425" s="310">
        <f t="shared" ca="1" si="192"/>
        <v>23</v>
      </c>
      <c r="Q425" s="304">
        <f t="shared" ca="1" si="193"/>
        <v>0</v>
      </c>
      <c r="R425" s="306">
        <f t="shared" ca="1" si="194"/>
        <v>0</v>
      </c>
      <c r="S425" s="307">
        <f t="shared" ca="1" si="195"/>
        <v>2.9792999999999985</v>
      </c>
      <c r="T425" s="304">
        <f t="shared" ca="1" si="175"/>
        <v>29.226932999999988</v>
      </c>
      <c r="U425" s="311">
        <f t="shared" ca="1" si="176"/>
        <v>0</v>
      </c>
      <c r="V425" s="306">
        <f t="shared" ca="1" si="177"/>
        <v>1.1288679071984031</v>
      </c>
      <c r="W425" s="304">
        <f t="shared" ca="1" si="178"/>
        <v>18.559182813536346</v>
      </c>
      <c r="Y425" s="314" t="str">
        <f t="shared" ca="1" si="196"/>
        <v/>
      </c>
      <c r="Z425" s="315" t="str">
        <f t="shared" ca="1" si="197"/>
        <v/>
      </c>
      <c r="AA425" s="316" t="str">
        <f t="shared" ca="1" si="198"/>
        <v/>
      </c>
      <c r="AC425" s="310" t="e">
        <f t="shared" ca="1" si="199"/>
        <v>#N/A</v>
      </c>
      <c r="AD425" s="323" t="e">
        <f t="shared" ca="1" si="200"/>
        <v>#N/A</v>
      </c>
      <c r="AE425" s="324" t="e">
        <f t="shared" ca="1" si="179"/>
        <v>#N/A</v>
      </c>
      <c r="AG425" s="306">
        <f t="shared" ca="1" si="201"/>
        <v>3.5035817059689052</v>
      </c>
      <c r="AH425" s="304">
        <f t="shared" ca="1" si="202"/>
        <v>-6.1752761672218419</v>
      </c>
    </row>
    <row r="426" spans="1:34" x14ac:dyDescent="0.2">
      <c r="A426" s="347">
        <f t="shared" ca="1" si="180"/>
        <v>0.1</v>
      </c>
      <c r="B426" s="304">
        <f t="shared" ca="1" si="181"/>
        <v>28.800000000000104</v>
      </c>
      <c r="D426" s="306">
        <f t="shared" ca="1" si="182"/>
        <v>-1.0042051823605509</v>
      </c>
      <c r="E426" s="307">
        <f t="shared" ca="1" si="183"/>
        <v>-3.6620971531271866</v>
      </c>
      <c r="F426" s="304">
        <f t="shared" ca="1" si="184"/>
        <v>3.7972863478044467</v>
      </c>
      <c r="G426" s="306">
        <f t="shared" ca="1" si="185"/>
        <v>14.343971681346861</v>
      </c>
      <c r="H426" s="307">
        <f t="shared" ca="1" si="186"/>
        <v>-88.79706178123989</v>
      </c>
      <c r="I426" s="304">
        <f t="shared" ca="1" si="187"/>
        <v>89.948138972280105</v>
      </c>
      <c r="J426" s="306">
        <f t="shared" ca="1" si="188"/>
        <v>752.51424886802545</v>
      </c>
      <c r="K426" s="307">
        <f t="shared" ca="1" si="189"/>
        <v>807.93968738977742</v>
      </c>
      <c r="L426" s="304">
        <f t="shared" ca="1" si="174"/>
        <v>1104.1033616509371</v>
      </c>
      <c r="M426" s="306">
        <f t="shared" ca="1" si="190"/>
        <v>-1.4106432212342637</v>
      </c>
      <c r="N426" s="304">
        <f t="shared" ca="1" si="191"/>
        <v>-80.823902975462573</v>
      </c>
      <c r="P426" s="310">
        <f t="shared" ca="1" si="192"/>
        <v>23</v>
      </c>
      <c r="Q426" s="304">
        <f t="shared" ca="1" si="193"/>
        <v>0</v>
      </c>
      <c r="R426" s="306">
        <f t="shared" ca="1" si="194"/>
        <v>0</v>
      </c>
      <c r="S426" s="307">
        <f t="shared" ca="1" si="195"/>
        <v>2.9792999999999985</v>
      </c>
      <c r="T426" s="304">
        <f t="shared" ca="1" si="175"/>
        <v>29.226932999999988</v>
      </c>
      <c r="U426" s="311">
        <f t="shared" ca="1" si="176"/>
        <v>0</v>
      </c>
      <c r="V426" s="306">
        <f t="shared" ca="1" si="177"/>
        <v>1.1298703396951617</v>
      </c>
      <c r="W426" s="304">
        <f t="shared" ca="1" si="178"/>
        <v>18.719137826642463</v>
      </c>
      <c r="Y426" s="314" t="str">
        <f t="shared" ca="1" si="196"/>
        <v/>
      </c>
      <c r="Z426" s="315" t="str">
        <f t="shared" ca="1" si="197"/>
        <v/>
      </c>
      <c r="AA426" s="316" t="str">
        <f t="shared" ca="1" si="198"/>
        <v/>
      </c>
      <c r="AC426" s="310" t="e">
        <f t="shared" ca="1" si="199"/>
        <v>#N/A</v>
      </c>
      <c r="AD426" s="323" t="e">
        <f t="shared" ca="1" si="200"/>
        <v>#N/A</v>
      </c>
      <c r="AE426" s="324" t="e">
        <f t="shared" ca="1" si="179"/>
        <v>#N/A</v>
      </c>
      <c r="AG426" s="306">
        <f t="shared" ca="1" si="201"/>
        <v>3.4523178739427385</v>
      </c>
      <c r="AH426" s="304">
        <f t="shared" ca="1" si="202"/>
        <v>-6.2293769722875689</v>
      </c>
    </row>
    <row r="427" spans="1:34" x14ac:dyDescent="0.2">
      <c r="A427" s="347">
        <f t="shared" ca="1" si="180"/>
        <v>0.1</v>
      </c>
      <c r="B427" s="304">
        <f t="shared" ca="1" si="181"/>
        <v>28.900000000000105</v>
      </c>
      <c r="D427" s="306">
        <f t="shared" ca="1" si="182"/>
        <v>-1.0019564429139125</v>
      </c>
      <c r="E427" s="307">
        <f t="shared" ca="1" si="183"/>
        <v>-3.6073393882785494</v>
      </c>
      <c r="F427" s="304">
        <f t="shared" ca="1" si="184"/>
        <v>3.7439036012860374</v>
      </c>
      <c r="G427" s="306">
        <f t="shared" ca="1" si="185"/>
        <v>14.24377603705547</v>
      </c>
      <c r="H427" s="307">
        <f t="shared" ca="1" si="186"/>
        <v>-89.157795720067739</v>
      </c>
      <c r="I427" s="304">
        <f t="shared" ca="1" si="187"/>
        <v>90.288413949161409</v>
      </c>
      <c r="J427" s="306">
        <f t="shared" ca="1" si="188"/>
        <v>753.94363625394556</v>
      </c>
      <c r="K427" s="307">
        <f t="shared" ca="1" si="189"/>
        <v>799.04194451471199</v>
      </c>
      <c r="L427" s="304">
        <f t="shared" ca="1" si="174"/>
        <v>1098.5895665541675</v>
      </c>
      <c r="M427" s="306">
        <f t="shared" ca="1" si="190"/>
        <v>-1.4123758855754089</v>
      </c>
      <c r="N427" s="304">
        <f t="shared" ca="1" si="191"/>
        <v>-80.923177329523014</v>
      </c>
      <c r="P427" s="310">
        <f t="shared" ca="1" si="192"/>
        <v>23</v>
      </c>
      <c r="Q427" s="304">
        <f t="shared" ca="1" si="193"/>
        <v>0</v>
      </c>
      <c r="R427" s="306">
        <f t="shared" ca="1" si="194"/>
        <v>0</v>
      </c>
      <c r="S427" s="307">
        <f t="shared" ca="1" si="195"/>
        <v>2.9792999999999985</v>
      </c>
      <c r="T427" s="304">
        <f t="shared" ca="1" si="175"/>
        <v>29.226932999999988</v>
      </c>
      <c r="U427" s="311">
        <f t="shared" ca="1" si="176"/>
        <v>0</v>
      </c>
      <c r="V427" s="306">
        <f t="shared" ca="1" si="177"/>
        <v>1.1308777433458981</v>
      </c>
      <c r="W427" s="304">
        <f t="shared" ca="1" si="178"/>
        <v>18.87785188919727</v>
      </c>
      <c r="Y427" s="314" t="str">
        <f t="shared" ca="1" si="196"/>
        <v/>
      </c>
      <c r="Z427" s="315" t="str">
        <f t="shared" ca="1" si="197"/>
        <v/>
      </c>
      <c r="AA427" s="316" t="str">
        <f t="shared" ca="1" si="198"/>
        <v/>
      </c>
      <c r="AC427" s="310" t="e">
        <f t="shared" ca="1" si="199"/>
        <v>#N/A</v>
      </c>
      <c r="AD427" s="323" t="e">
        <f t="shared" ca="1" si="200"/>
        <v>#N/A</v>
      </c>
      <c r="AE427" s="324" t="e">
        <f t="shared" ca="1" si="179"/>
        <v>#N/A</v>
      </c>
      <c r="AG427" s="306">
        <f t="shared" ca="1" si="201"/>
        <v>3.4013944833039469</v>
      </c>
      <c r="AH427" s="304">
        <f t="shared" ca="1" si="202"/>
        <v>-6.2830657626430613</v>
      </c>
    </row>
    <row r="428" spans="1:34" x14ac:dyDescent="0.2">
      <c r="A428" s="347">
        <f t="shared" ca="1" si="180"/>
        <v>0.1</v>
      </c>
      <c r="B428" s="304">
        <f t="shared" ca="1" si="181"/>
        <v>29.000000000000107</v>
      </c>
      <c r="D428" s="306">
        <f t="shared" ca="1" si="182"/>
        <v>-0.99961197488851883</v>
      </c>
      <c r="E428" s="307">
        <f t="shared" ca="1" si="183"/>
        <v>-3.5530074704496695</v>
      </c>
      <c r="F428" s="304">
        <f t="shared" ca="1" si="184"/>
        <v>3.690946516194956</v>
      </c>
      <c r="G428" s="306">
        <f t="shared" ca="1" si="185"/>
        <v>14.143814839566618</v>
      </c>
      <c r="H428" s="307">
        <f t="shared" ca="1" si="186"/>
        <v>-89.513096467112703</v>
      </c>
      <c r="I428" s="304">
        <f t="shared" ca="1" si="187"/>
        <v>90.62362791980118</v>
      </c>
      <c r="J428" s="306">
        <f t="shared" ca="1" si="188"/>
        <v>755.36301579777671</v>
      </c>
      <c r="K428" s="307">
        <f t="shared" ca="1" si="189"/>
        <v>790.10839990535294</v>
      </c>
      <c r="L428" s="304">
        <f t="shared" ca="1" si="174"/>
        <v>1093.0894607652704</v>
      </c>
      <c r="M428" s="306">
        <f t="shared" ca="1" si="190"/>
        <v>-1.4140836221766684</v>
      </c>
      <c r="N428" s="304">
        <f t="shared" ca="1" si="191"/>
        <v>-81.021023429295198</v>
      </c>
      <c r="P428" s="310">
        <f t="shared" ca="1" si="192"/>
        <v>23</v>
      </c>
      <c r="Q428" s="304">
        <f t="shared" ca="1" si="193"/>
        <v>0</v>
      </c>
      <c r="R428" s="306">
        <f t="shared" ca="1" si="194"/>
        <v>0</v>
      </c>
      <c r="S428" s="307">
        <f t="shared" ca="1" si="195"/>
        <v>2.9792999999999985</v>
      </c>
      <c r="T428" s="304">
        <f t="shared" ca="1" si="175"/>
        <v>29.226932999999988</v>
      </c>
      <c r="U428" s="311">
        <f t="shared" ca="1" si="176"/>
        <v>0</v>
      </c>
      <c r="V428" s="306">
        <f t="shared" ca="1" si="177"/>
        <v>1.1318900679817079</v>
      </c>
      <c r="W428" s="304">
        <f t="shared" ca="1" si="178"/>
        <v>19.035312326497674</v>
      </c>
      <c r="Y428" s="314" t="str">
        <f t="shared" ca="1" si="196"/>
        <v/>
      </c>
      <c r="Z428" s="315" t="str">
        <f t="shared" ca="1" si="197"/>
        <v/>
      </c>
      <c r="AA428" s="316" t="str">
        <f t="shared" ca="1" si="198"/>
        <v/>
      </c>
      <c r="AC428" s="310">
        <f t="shared" ca="1" si="199"/>
        <v>29.000000000000107</v>
      </c>
      <c r="AD428" s="323">
        <f t="shared" ca="1" si="200"/>
        <v>755.36301579777671</v>
      </c>
      <c r="AE428" s="324" t="e">
        <f t="shared" ca="1" si="179"/>
        <v>#N/A</v>
      </c>
      <c r="AG428" s="306">
        <f t="shared" ca="1" si="201"/>
        <v>3.3508182491532805</v>
      </c>
      <c r="AH428" s="304">
        <f t="shared" ca="1" si="202"/>
        <v>-6.3363380287977984</v>
      </c>
    </row>
    <row r="429" spans="1:34" x14ac:dyDescent="0.2">
      <c r="A429" s="347">
        <f t="shared" ca="1" si="180"/>
        <v>0.1</v>
      </c>
      <c r="B429" s="304">
        <f t="shared" ca="1" si="181"/>
        <v>29.100000000000108</v>
      </c>
      <c r="D429" s="306">
        <f t="shared" ca="1" si="182"/>
        <v>-0.99717386702060906</v>
      </c>
      <c r="E429" s="307">
        <f t="shared" ca="1" si="183"/>
        <v>-3.499105692800863</v>
      </c>
      <c r="F429" s="304">
        <f t="shared" ca="1" si="184"/>
        <v>3.6384194879727989</v>
      </c>
      <c r="G429" s="306">
        <f t="shared" ca="1" si="185"/>
        <v>14.044097452864557</v>
      </c>
      <c r="H429" s="307">
        <f t="shared" ca="1" si="186"/>
        <v>-89.863007036392787</v>
      </c>
      <c r="I429" s="304">
        <f t="shared" ca="1" si="187"/>
        <v>90.953816340428162</v>
      </c>
      <c r="J429" s="306">
        <f t="shared" ca="1" si="188"/>
        <v>756.77241141239824</v>
      </c>
      <c r="K429" s="307">
        <f t="shared" ca="1" si="189"/>
        <v>781.13959473017769</v>
      </c>
      <c r="L429" s="304">
        <f t="shared" ca="1" si="174"/>
        <v>1087.6045003263653</v>
      </c>
      <c r="M429" s="306">
        <f t="shared" ca="1" si="190"/>
        <v>-1.4157669682261624</v>
      </c>
      <c r="N429" s="304">
        <f t="shared" ca="1" si="191"/>
        <v>-81.117472053391225</v>
      </c>
      <c r="P429" s="310">
        <f t="shared" ca="1" si="192"/>
        <v>23</v>
      </c>
      <c r="Q429" s="304">
        <f t="shared" ca="1" si="193"/>
        <v>0</v>
      </c>
      <c r="R429" s="306">
        <f t="shared" ca="1" si="194"/>
        <v>0</v>
      </c>
      <c r="S429" s="307">
        <f t="shared" ca="1" si="195"/>
        <v>2.9792999999999985</v>
      </c>
      <c r="T429" s="304">
        <f t="shared" ca="1" si="175"/>
        <v>29.226932999999988</v>
      </c>
      <c r="U429" s="311">
        <f t="shared" ca="1" si="176"/>
        <v>0</v>
      </c>
      <c r="V429" s="306">
        <f t="shared" ca="1" si="177"/>
        <v>1.1329072637780533</v>
      </c>
      <c r="W429" s="304">
        <f t="shared" ca="1" si="178"/>
        <v>19.191507211531633</v>
      </c>
      <c r="Y429" s="314" t="str">
        <f t="shared" ca="1" si="196"/>
        <v/>
      </c>
      <c r="Z429" s="315" t="str">
        <f t="shared" ca="1" si="197"/>
        <v/>
      </c>
      <c r="AA429" s="316" t="str">
        <f t="shared" ca="1" si="198"/>
        <v/>
      </c>
      <c r="AC429" s="310" t="e">
        <f t="shared" ca="1" si="199"/>
        <v>#N/A</v>
      </c>
      <c r="AD429" s="323" t="e">
        <f t="shared" ca="1" si="200"/>
        <v>#N/A</v>
      </c>
      <c r="AE429" s="324" t="e">
        <f t="shared" ca="1" si="179"/>
        <v>#N/A</v>
      </c>
      <c r="AG429" s="306">
        <f t="shared" ca="1" si="201"/>
        <v>3.3005955483818914</v>
      </c>
      <c r="AH429" s="304">
        <f t="shared" ca="1" si="202"/>
        <v>-6.3891895164963861</v>
      </c>
    </row>
    <row r="430" spans="1:34" x14ac:dyDescent="0.2">
      <c r="A430" s="347">
        <f t="shared" ca="1" si="180"/>
        <v>0.1</v>
      </c>
      <c r="B430" s="304">
        <f t="shared" ca="1" si="181"/>
        <v>29.200000000000109</v>
      </c>
      <c r="D430" s="306">
        <f t="shared" ca="1" si="182"/>
        <v>-0.99464420100165896</v>
      </c>
      <c r="E430" s="307">
        <f t="shared" ca="1" si="183"/>
        <v>-3.4456380939888582</v>
      </c>
      <c r="F430" s="304">
        <f t="shared" ca="1" si="184"/>
        <v>3.5863266668463707</v>
      </c>
      <c r="G430" s="306">
        <f t="shared" ca="1" si="185"/>
        <v>13.944633032764392</v>
      </c>
      <c r="H430" s="307">
        <f t="shared" ca="1" si="186"/>
        <v>-90.207570845791679</v>
      </c>
      <c r="I430" s="304">
        <f t="shared" ca="1" si="187"/>
        <v>91.279015268116183</v>
      </c>
      <c r="J430" s="306">
        <f t="shared" ca="1" si="188"/>
        <v>758.17184793667968</v>
      </c>
      <c r="K430" s="307">
        <f t="shared" ca="1" si="189"/>
        <v>772.1360658360685</v>
      </c>
      <c r="L430" s="304">
        <f t="shared" ca="1" si="174"/>
        <v>1082.136153711039</v>
      </c>
      <c r="M430" s="306">
        <f t="shared" ca="1" si="190"/>
        <v>-1.4174264449623772</v>
      </c>
      <c r="N430" s="304">
        <f t="shared" ca="1" si="191"/>
        <v>-81.212553066576476</v>
      </c>
      <c r="P430" s="310">
        <f t="shared" ca="1" si="192"/>
        <v>23</v>
      </c>
      <c r="Q430" s="304">
        <f t="shared" ca="1" si="193"/>
        <v>0</v>
      </c>
      <c r="R430" s="306">
        <f t="shared" ca="1" si="194"/>
        <v>0</v>
      </c>
      <c r="S430" s="307">
        <f t="shared" ca="1" si="195"/>
        <v>2.9792999999999985</v>
      </c>
      <c r="T430" s="304">
        <f t="shared" ca="1" si="175"/>
        <v>29.226932999999988</v>
      </c>
      <c r="U430" s="311">
        <f t="shared" ca="1" si="176"/>
        <v>0</v>
      </c>
      <c r="V430" s="306">
        <f t="shared" ca="1" si="177"/>
        <v>1.1339292812591528</v>
      </c>
      <c r="W430" s="304">
        <f t="shared" ca="1" si="178"/>
        <v>19.346425352062102</v>
      </c>
      <c r="Y430" s="314" t="str">
        <f t="shared" ca="1" si="196"/>
        <v/>
      </c>
      <c r="Z430" s="315" t="str">
        <f t="shared" ca="1" si="197"/>
        <v/>
      </c>
      <c r="AA430" s="316" t="str">
        <f t="shared" ca="1" si="198"/>
        <v/>
      </c>
      <c r="AC430" s="310" t="e">
        <f t="shared" ca="1" si="199"/>
        <v>#N/A</v>
      </c>
      <c r="AD430" s="323" t="e">
        <f t="shared" ca="1" si="200"/>
        <v>#N/A</v>
      </c>
      <c r="AE430" s="324" t="e">
        <f t="shared" ca="1" si="179"/>
        <v>#N/A</v>
      </c>
      <c r="AG430" s="306">
        <f t="shared" ca="1" si="201"/>
        <v>3.25073242763722</v>
      </c>
      <c r="AH430" s="304">
        <f t="shared" ca="1" si="202"/>
        <v>-6.441616222445421</v>
      </c>
    </row>
    <row r="431" spans="1:34" x14ac:dyDescent="0.2">
      <c r="A431" s="347">
        <f t="shared" ca="1" si="180"/>
        <v>0.1</v>
      </c>
      <c r="B431" s="304">
        <f t="shared" ca="1" si="181"/>
        <v>29.300000000000111</v>
      </c>
      <c r="D431" s="306">
        <f t="shared" ca="1" si="182"/>
        <v>-0.99202505042968037</v>
      </c>
      <c r="E431" s="307">
        <f t="shared" ca="1" si="183"/>
        <v>-3.392608462540859</v>
      </c>
      <c r="F431" s="304">
        <f t="shared" ca="1" si="184"/>
        <v>3.5346719622595617</v>
      </c>
      <c r="G431" s="306">
        <f t="shared" ca="1" si="185"/>
        <v>13.845430527721424</v>
      </c>
      <c r="H431" s="307">
        <f t="shared" ca="1" si="186"/>
        <v>-90.546831692045771</v>
      </c>
      <c r="I431" s="304">
        <f t="shared" ca="1" si="187"/>
        <v>91.599261328711734</v>
      </c>
      <c r="J431" s="306">
        <f t="shared" ca="1" si="188"/>
        <v>759.56135111470394</v>
      </c>
      <c r="K431" s="307">
        <f t="shared" ca="1" si="189"/>
        <v>763.09834570917667</v>
      </c>
      <c r="L431" s="304">
        <f t="shared" ca="1" si="174"/>
        <v>1076.6859018912046</v>
      </c>
      <c r="M431" s="306">
        <f t="shared" ca="1" si="190"/>
        <v>-1.4190625582559049</v>
      </c>
      <c r="N431" s="304">
        <f t="shared" ca="1" si="191"/>
        <v>-81.306295453100859</v>
      </c>
      <c r="P431" s="310">
        <f t="shared" ca="1" si="192"/>
        <v>23</v>
      </c>
      <c r="Q431" s="304">
        <f t="shared" ca="1" si="193"/>
        <v>0</v>
      </c>
      <c r="R431" s="306">
        <f t="shared" ca="1" si="194"/>
        <v>0</v>
      </c>
      <c r="S431" s="307">
        <f t="shared" ca="1" si="195"/>
        <v>2.9792999999999985</v>
      </c>
      <c r="T431" s="304">
        <f t="shared" ca="1" si="175"/>
        <v>29.226932999999988</v>
      </c>
      <c r="U431" s="311">
        <f t="shared" ca="1" si="176"/>
        <v>0</v>
      </c>
      <c r="V431" s="306">
        <f t="shared" ca="1" si="177"/>
        <v>1.1349560713021503</v>
      </c>
      <c r="W431" s="304">
        <f t="shared" ca="1" si="178"/>
        <v>19.500056277544701</v>
      </c>
      <c r="Y431" s="314" t="str">
        <f t="shared" ca="1" si="196"/>
        <v/>
      </c>
      <c r="Z431" s="315" t="str">
        <f t="shared" ca="1" si="197"/>
        <v/>
      </c>
      <c r="AA431" s="316" t="str">
        <f t="shared" ca="1" si="198"/>
        <v/>
      </c>
      <c r="AC431" s="310" t="e">
        <f t="shared" ca="1" si="199"/>
        <v>#N/A</v>
      </c>
      <c r="AD431" s="323" t="e">
        <f t="shared" ca="1" si="200"/>
        <v>#N/A</v>
      </c>
      <c r="AE431" s="324" t="e">
        <f t="shared" ca="1" si="179"/>
        <v>#N/A</v>
      </c>
      <c r="AG431" s="306">
        <f t="shared" ca="1" si="201"/>
        <v>3.2012346111626284</v>
      </c>
      <c r="AH431" s="304">
        <f t="shared" ca="1" si="202"/>
        <v>-6.4936143899782204</v>
      </c>
    </row>
    <row r="432" spans="1:34" x14ac:dyDescent="0.2">
      <c r="A432" s="347">
        <f t="shared" ca="1" si="180"/>
        <v>0.1</v>
      </c>
      <c r="B432" s="304">
        <f t="shared" ca="1" si="181"/>
        <v>29.400000000000112</v>
      </c>
      <c r="D432" s="306">
        <f t="shared" ca="1" si="182"/>
        <v>-0.98931847980212484</v>
      </c>
      <c r="E432" s="307">
        <f t="shared" ca="1" si="183"/>
        <v>-3.3400203412875848</v>
      </c>
      <c r="F432" s="304">
        <f t="shared" ca="1" si="184"/>
        <v>3.4834590473684086</v>
      </c>
      <c r="G432" s="306">
        <f t="shared" ca="1" si="185"/>
        <v>13.746498679741212</v>
      </c>
      <c r="H432" s="307">
        <f t="shared" ca="1" si="186"/>
        <v>-90.880833726174529</v>
      </c>
      <c r="I432" s="304">
        <f t="shared" ca="1" si="187"/>
        <v>91.914591685524599</v>
      </c>
      <c r="J432" s="306">
        <f t="shared" ca="1" si="188"/>
        <v>760.94094757507708</v>
      </c>
      <c r="K432" s="307">
        <f t="shared" ca="1" si="189"/>
        <v>754.02696243826563</v>
      </c>
      <c r="L432" s="304">
        <f t="shared" ca="1" si="174"/>
        <v>1071.255238391082</v>
      </c>
      <c r="M432" s="306">
        <f t="shared" ca="1" si="190"/>
        <v>-1.4206757991664258</v>
      </c>
      <c r="N432" s="304">
        <f t="shared" ca="1" si="191"/>
        <v>-81.398727348611558</v>
      </c>
      <c r="P432" s="310">
        <f t="shared" ca="1" si="192"/>
        <v>23</v>
      </c>
      <c r="Q432" s="304">
        <f t="shared" ca="1" si="193"/>
        <v>0</v>
      </c>
      <c r="R432" s="306">
        <f t="shared" ca="1" si="194"/>
        <v>0</v>
      </c>
      <c r="S432" s="307">
        <f t="shared" ca="1" si="195"/>
        <v>2.9792999999999985</v>
      </c>
      <c r="T432" s="304">
        <f t="shared" ca="1" si="175"/>
        <v>29.226932999999988</v>
      </c>
      <c r="U432" s="311">
        <f t="shared" ca="1" si="176"/>
        <v>0</v>
      </c>
      <c r="V432" s="306">
        <f t="shared" ca="1" si="177"/>
        <v>1.1359875851410808</v>
      </c>
      <c r="W432" s="304">
        <f t="shared" ca="1" si="178"/>
        <v>19.652390225897793</v>
      </c>
      <c r="Y432" s="314" t="str">
        <f t="shared" ca="1" si="196"/>
        <v/>
      </c>
      <c r="Z432" s="315" t="str">
        <f t="shared" ca="1" si="197"/>
        <v/>
      </c>
      <c r="AA432" s="316" t="str">
        <f t="shared" ca="1" si="198"/>
        <v/>
      </c>
      <c r="AC432" s="310" t="e">
        <f t="shared" ca="1" si="199"/>
        <v>#N/A</v>
      </c>
      <c r="AD432" s="323" t="e">
        <f t="shared" ca="1" si="200"/>
        <v>#N/A</v>
      </c>
      <c r="AE432" s="324" t="e">
        <f t="shared" ca="1" si="179"/>
        <v>#N/A</v>
      </c>
      <c r="AG432" s="306">
        <f t="shared" ca="1" si="201"/>
        <v>3.1521075085152725</v>
      </c>
      <c r="AH432" s="304">
        <f t="shared" ca="1" si="202"/>
        <v>-6.5451805046637501</v>
      </c>
    </row>
    <row r="433" spans="1:34" x14ac:dyDescent="0.2">
      <c r="A433" s="347">
        <f t="shared" ca="1" si="180"/>
        <v>0.1</v>
      </c>
      <c r="B433" s="304">
        <f t="shared" ca="1" si="181"/>
        <v>29.500000000000114</v>
      </c>
      <c r="D433" s="306">
        <f t="shared" ca="1" si="182"/>
        <v>-0.98652654354972846</v>
      </c>
      <c r="E433" s="307">
        <f t="shared" ca="1" si="183"/>
        <v>-3.2878770318487858</v>
      </c>
      <c r="F433" s="304">
        <f t="shared" ca="1" si="184"/>
        <v>3.4326913635931438</v>
      </c>
      <c r="G433" s="306">
        <f t="shared" ca="1" si="185"/>
        <v>13.647846025386238</v>
      </c>
      <c r="H433" s="307">
        <f t="shared" ca="1" si="186"/>
        <v>-91.209621429359402</v>
      </c>
      <c r="I433" s="304">
        <f t="shared" ca="1" si="187"/>
        <v>92.225044008770794</v>
      </c>
      <c r="J433" s="306">
        <f t="shared" ca="1" si="188"/>
        <v>762.31066481033349</v>
      </c>
      <c r="K433" s="307">
        <f t="shared" ca="1" si="189"/>
        <v>744.92243968048888</v>
      </c>
      <c r="L433" s="304">
        <f t="shared" ca="1" si="174"/>
        <v>1065.8456693269923</v>
      </c>
      <c r="M433" s="306">
        <f t="shared" ca="1" si="190"/>
        <v>-1.4222666444761303</v>
      </c>
      <c r="N433" s="304">
        <f t="shared" ca="1" si="191"/>
        <v>-81.489876070715809</v>
      </c>
      <c r="P433" s="310">
        <f t="shared" ca="1" si="192"/>
        <v>23</v>
      </c>
      <c r="Q433" s="304">
        <f t="shared" ca="1" si="193"/>
        <v>0</v>
      </c>
      <c r="R433" s="306">
        <f t="shared" ca="1" si="194"/>
        <v>0</v>
      </c>
      <c r="S433" s="307">
        <f t="shared" ca="1" si="195"/>
        <v>2.9792999999999985</v>
      </c>
      <c r="T433" s="304">
        <f t="shared" ca="1" si="175"/>
        <v>29.226932999999988</v>
      </c>
      <c r="U433" s="311">
        <f t="shared" ca="1" si="176"/>
        <v>0</v>
      </c>
      <c r="V433" s="306">
        <f t="shared" ca="1" si="177"/>
        <v>1.1370237743706257</v>
      </c>
      <c r="W433" s="304">
        <f t="shared" ca="1" si="178"/>
        <v>19.803418130142955</v>
      </c>
      <c r="Y433" s="314" t="str">
        <f t="shared" ca="1" si="196"/>
        <v/>
      </c>
      <c r="Z433" s="315" t="str">
        <f t="shared" ca="1" si="197"/>
        <v/>
      </c>
      <c r="AA433" s="316" t="str">
        <f t="shared" ca="1" si="198"/>
        <v/>
      </c>
      <c r="AC433" s="310" t="e">
        <f t="shared" ca="1" si="199"/>
        <v>#N/A</v>
      </c>
      <c r="AD433" s="323" t="e">
        <f t="shared" ca="1" si="200"/>
        <v>#N/A</v>
      </c>
      <c r="AE433" s="324" t="e">
        <f t="shared" ca="1" si="179"/>
        <v>#N/A</v>
      </c>
      <c r="AG433" s="306">
        <f t="shared" ca="1" si="201"/>
        <v>3.1033562221660196</v>
      </c>
      <c r="AH433" s="304">
        <f t="shared" ca="1" si="202"/>
        <v>-6.5963112898660095</v>
      </c>
    </row>
    <row r="434" spans="1:34" x14ac:dyDescent="0.2">
      <c r="A434" s="347">
        <f t="shared" ca="1" si="180"/>
        <v>0.1</v>
      </c>
      <c r="B434" s="304">
        <f t="shared" ca="1" si="181"/>
        <v>29.600000000000115</v>
      </c>
      <c r="D434" s="306">
        <f t="shared" ca="1" si="182"/>
        <v>-0.98365128511067135</v>
      </c>
      <c r="E434" s="307">
        <f t="shared" ca="1" si="183"/>
        <v>-3.2361815991649774</v>
      </c>
      <c r="F434" s="304">
        <f t="shared" ca="1" si="184"/>
        <v>3.3823721252212722</v>
      </c>
      <c r="G434" s="306">
        <f t="shared" ca="1" si="185"/>
        <v>13.549480896875171</v>
      </c>
      <c r="H434" s="307">
        <f t="shared" ca="1" si="186"/>
        <v>-91.533239589275894</v>
      </c>
      <c r="I434" s="304">
        <f t="shared" ca="1" si="187"/>
        <v>92.530656445756222</v>
      </c>
      <c r="J434" s="306">
        <f t="shared" ca="1" si="188"/>
        <v>763.6705311564466</v>
      </c>
      <c r="K434" s="307">
        <f t="shared" ca="1" si="189"/>
        <v>735.78529662955714</v>
      </c>
      <c r="L434" s="304">
        <f t="shared" ca="1" si="174"/>
        <v>1060.4587134316048</v>
      </c>
      <c r="M434" s="306">
        <f t="shared" ca="1" si="190"/>
        <v>-1.4238355572007142</v>
      </c>
      <c r="N434" s="304">
        <f t="shared" ca="1" si="191"/>
        <v>-81.579768148258836</v>
      </c>
      <c r="P434" s="310">
        <f t="shared" ca="1" si="192"/>
        <v>23</v>
      </c>
      <c r="Q434" s="304">
        <f t="shared" ca="1" si="193"/>
        <v>0</v>
      </c>
      <c r="R434" s="306">
        <f t="shared" ca="1" si="194"/>
        <v>0</v>
      </c>
      <c r="S434" s="307">
        <f t="shared" ca="1" si="195"/>
        <v>2.9792999999999985</v>
      </c>
      <c r="T434" s="304">
        <f t="shared" ca="1" si="175"/>
        <v>29.226932999999988</v>
      </c>
      <c r="U434" s="311">
        <f t="shared" ca="1" si="176"/>
        <v>0</v>
      </c>
      <c r="V434" s="306">
        <f t="shared" ca="1" si="177"/>
        <v>1.1380645909496649</v>
      </c>
      <c r="W434" s="304">
        <f t="shared" ca="1" si="178"/>
        <v>19.953131604933162</v>
      </c>
      <c r="Y434" s="314" t="str">
        <f t="shared" ca="1" si="196"/>
        <v/>
      </c>
      <c r="Z434" s="315" t="str">
        <f t="shared" ca="1" si="197"/>
        <v/>
      </c>
      <c r="AA434" s="316" t="str">
        <f t="shared" ca="1" si="198"/>
        <v/>
      </c>
      <c r="AC434" s="310" t="e">
        <f t="shared" ca="1" si="199"/>
        <v>#N/A</v>
      </c>
      <c r="AD434" s="323" t="e">
        <f t="shared" ca="1" si="200"/>
        <v>#N/A</v>
      </c>
      <c r="AE434" s="324" t="e">
        <f t="shared" ca="1" si="179"/>
        <v>#N/A</v>
      </c>
      <c r="AG434" s="306">
        <f t="shared" ca="1" si="201"/>
        <v>3.054985554984806</v>
      </c>
      <c r="AH434" s="304">
        <f t="shared" ca="1" si="202"/>
        <v>-6.6470037022599149</v>
      </c>
    </row>
    <row r="435" spans="1:34" x14ac:dyDescent="0.2">
      <c r="A435" s="347">
        <f t="shared" ca="1" si="180"/>
        <v>0.1</v>
      </c>
      <c r="B435" s="304">
        <f t="shared" ca="1" si="181"/>
        <v>29.700000000000117</v>
      </c>
      <c r="D435" s="306">
        <f t="shared" ca="1" si="182"/>
        <v>-0.98069473604436852</v>
      </c>
      <c r="E435" s="307">
        <f t="shared" ca="1" si="183"/>
        <v>-3.1849368760693189</v>
      </c>
      <c r="F435" s="304">
        <f t="shared" ca="1" si="184"/>
        <v>3.332504324055908</v>
      </c>
      <c r="G435" s="306">
        <f t="shared" ca="1" si="185"/>
        <v>13.451411423270734</v>
      </c>
      <c r="H435" s="307">
        <f t="shared" ca="1" si="186"/>
        <v>-91.851733276882825</v>
      </c>
      <c r="I435" s="304">
        <f t="shared" ca="1" si="187"/>
        <v>92.831467591790883</v>
      </c>
      <c r="J435" s="306">
        <f t="shared" ca="1" si="188"/>
        <v>765.02057577245387</v>
      </c>
      <c r="K435" s="307">
        <f t="shared" ca="1" si="189"/>
        <v>726.61604798624921</v>
      </c>
      <c r="L435" s="304">
        <f t="shared" ca="1" si="174"/>
        <v>1055.0959020612165</v>
      </c>
      <c r="M435" s="306">
        <f t="shared" ca="1" si="190"/>
        <v>-1.4253829870790244</v>
      </c>
      <c r="N435" s="304">
        <f t="shared" ca="1" si="191"/>
        <v>-81.668429349378457</v>
      </c>
      <c r="P435" s="310">
        <f t="shared" ca="1" si="192"/>
        <v>23</v>
      </c>
      <c r="Q435" s="304">
        <f t="shared" ca="1" si="193"/>
        <v>0</v>
      </c>
      <c r="R435" s="306">
        <f t="shared" ca="1" si="194"/>
        <v>0</v>
      </c>
      <c r="S435" s="307">
        <f t="shared" ca="1" si="195"/>
        <v>2.9792999999999985</v>
      </c>
      <c r="T435" s="304">
        <f t="shared" ca="1" si="175"/>
        <v>29.226932999999988</v>
      </c>
      <c r="U435" s="311">
        <f t="shared" ca="1" si="176"/>
        <v>0</v>
      </c>
      <c r="V435" s="306">
        <f t="shared" ca="1" si="177"/>
        <v>1.1391099872046277</v>
      </c>
      <c r="W435" s="304">
        <f t="shared" ca="1" si="178"/>
        <v>20.101522932986004</v>
      </c>
      <c r="Y435" s="314" t="str">
        <f t="shared" ca="1" si="196"/>
        <v/>
      </c>
      <c r="Z435" s="315" t="str">
        <f t="shared" ca="1" si="197"/>
        <v/>
      </c>
      <c r="AA435" s="316" t="str">
        <f t="shared" ca="1" si="198"/>
        <v/>
      </c>
      <c r="AC435" s="310" t="e">
        <f t="shared" ca="1" si="199"/>
        <v>#N/A</v>
      </c>
      <c r="AD435" s="323" t="e">
        <f t="shared" ca="1" si="200"/>
        <v>#N/A</v>
      </c>
      <c r="AE435" s="324" t="e">
        <f t="shared" ca="1" si="179"/>
        <v>#N/A</v>
      </c>
      <c r="AG435" s="306">
        <f t="shared" ca="1" si="201"/>
        <v>3.0070000176145397</v>
      </c>
      <c r="AH435" s="304">
        <f t="shared" ca="1" si="202"/>
        <v>-6.6972549273094932</v>
      </c>
    </row>
    <row r="436" spans="1:34" x14ac:dyDescent="0.2">
      <c r="A436" s="347">
        <f t="shared" ca="1" si="180"/>
        <v>0.1</v>
      </c>
      <c r="B436" s="304">
        <f t="shared" ca="1" si="181"/>
        <v>29.800000000000118</v>
      </c>
      <c r="D436" s="306">
        <f t="shared" ca="1" si="182"/>
        <v>-0.97765891518423509</v>
      </c>
      <c r="E436" s="307">
        <f t="shared" ca="1" si="183"/>
        <v>-3.1341454678936573</v>
      </c>
      <c r="F436" s="304">
        <f t="shared" ca="1" si="184"/>
        <v>3.2830907341036992</v>
      </c>
      <c r="G436" s="306">
        <f t="shared" ca="1" si="185"/>
        <v>13.35364553175231</v>
      </c>
      <c r="H436" s="307">
        <f t="shared" ca="1" si="186"/>
        <v>-92.165147823672186</v>
      </c>
      <c r="I436" s="304">
        <f t="shared" ca="1" si="187"/>
        <v>93.127516461822566</v>
      </c>
      <c r="J436" s="306">
        <f t="shared" ca="1" si="188"/>
        <v>766.36082862020498</v>
      </c>
      <c r="K436" s="307">
        <f t="shared" ca="1" si="189"/>
        <v>717.41520393122141</v>
      </c>
      <c r="L436" s="304">
        <f t="shared" ca="1" si="174"/>
        <v>1049.7587791845913</v>
      </c>
      <c r="M436" s="306">
        <f t="shared" ca="1" si="190"/>
        <v>-1.4269093710423697</v>
      </c>
      <c r="N436" s="304">
        <f t="shared" ca="1" si="191"/>
        <v>-81.755884708394589</v>
      </c>
      <c r="P436" s="310">
        <f t="shared" ca="1" si="192"/>
        <v>23</v>
      </c>
      <c r="Q436" s="304">
        <f t="shared" ca="1" si="193"/>
        <v>0</v>
      </c>
      <c r="R436" s="306">
        <f t="shared" ca="1" si="194"/>
        <v>0</v>
      </c>
      <c r="S436" s="307">
        <f t="shared" ca="1" si="195"/>
        <v>2.9792999999999985</v>
      </c>
      <c r="T436" s="304">
        <f t="shared" ca="1" si="175"/>
        <v>29.226932999999988</v>
      </c>
      <c r="U436" s="311">
        <f t="shared" ca="1" si="176"/>
        <v>0</v>
      </c>
      <c r="V436" s="306">
        <f t="shared" ca="1" si="177"/>
        <v>1.1401599158326488</v>
      </c>
      <c r="W436" s="304">
        <f t="shared" ca="1" si="178"/>
        <v>20.248585051437971</v>
      </c>
      <c r="Y436" s="314" t="str">
        <f t="shared" ca="1" si="196"/>
        <v/>
      </c>
      <c r="Z436" s="315" t="str">
        <f t="shared" ca="1" si="197"/>
        <v/>
      </c>
      <c r="AA436" s="316" t="str">
        <f t="shared" ca="1" si="198"/>
        <v/>
      </c>
      <c r="AC436" s="310" t="e">
        <f t="shared" ca="1" si="199"/>
        <v>#N/A</v>
      </c>
      <c r="AD436" s="323" t="e">
        <f t="shared" ca="1" si="200"/>
        <v>#N/A</v>
      </c>
      <c r="AE436" s="324" t="e">
        <f t="shared" ca="1" si="179"/>
        <v>#N/A</v>
      </c>
      <c r="AG436" s="306">
        <f t="shared" ca="1" si="201"/>
        <v>2.9594038357359951</v>
      </c>
      <c r="AH436" s="304">
        <f t="shared" ca="1" si="202"/>
        <v>-6.7470623747141998</v>
      </c>
    </row>
    <row r="437" spans="1:34" x14ac:dyDescent="0.2">
      <c r="A437" s="347">
        <f t="shared" ca="1" si="180"/>
        <v>0.1</v>
      </c>
      <c r="B437" s="304">
        <f t="shared" ca="1" si="181"/>
        <v>29.900000000000119</v>
      </c>
      <c r="D437" s="306">
        <f t="shared" ca="1" si="182"/>
        <v>-0.97454582782871124</v>
      </c>
      <c r="E437" s="307">
        <f t="shared" ca="1" si="183"/>
        <v>-3.0838097571030998</v>
      </c>
      <c r="F437" s="304">
        <f t="shared" ca="1" si="184"/>
        <v>3.2341339162970089</v>
      </c>
      <c r="G437" s="306">
        <f t="shared" ca="1" si="185"/>
        <v>13.256190948969438</v>
      </c>
      <c r="H437" s="307">
        <f t="shared" ca="1" si="186"/>
        <v>-92.473528799382493</v>
      </c>
      <c r="I437" s="304">
        <f t="shared" ca="1" si="187"/>
        <v>93.41884246278029</v>
      </c>
      <c r="J437" s="306">
        <f t="shared" ca="1" si="188"/>
        <v>767.69132044424111</v>
      </c>
      <c r="K437" s="307">
        <f t="shared" ca="1" si="189"/>
        <v>708.18327010006863</v>
      </c>
      <c r="L437" s="304">
        <f t="shared" ca="1" si="174"/>
        <v>1044.4489013518321</v>
      </c>
      <c r="M437" s="306">
        <f t="shared" ca="1" si="190"/>
        <v>-1.4284151336644573</v>
      </c>
      <c r="N437" s="304">
        <f t="shared" ca="1" si="191"/>
        <v>-81.842158551588753</v>
      </c>
      <c r="P437" s="310">
        <f t="shared" ca="1" si="192"/>
        <v>23</v>
      </c>
      <c r="Q437" s="304">
        <f t="shared" ca="1" si="193"/>
        <v>0</v>
      </c>
      <c r="R437" s="306">
        <f t="shared" ca="1" si="194"/>
        <v>0</v>
      </c>
      <c r="S437" s="307">
        <f t="shared" ca="1" si="195"/>
        <v>2.9792999999999985</v>
      </c>
      <c r="T437" s="304">
        <f t="shared" ca="1" si="175"/>
        <v>29.226932999999988</v>
      </c>
      <c r="U437" s="311">
        <f t="shared" ca="1" si="176"/>
        <v>0</v>
      </c>
      <c r="V437" s="306">
        <f t="shared" ca="1" si="177"/>
        <v>1.1412143299045285</v>
      </c>
      <c r="W437" s="304">
        <f t="shared" ca="1" si="178"/>
        <v>20.394311538136034</v>
      </c>
      <c r="Y437" s="314" t="str">
        <f t="shared" ca="1" si="196"/>
        <v/>
      </c>
      <c r="Z437" s="315" t="str">
        <f t="shared" ca="1" si="197"/>
        <v/>
      </c>
      <c r="AA437" s="316" t="str">
        <f t="shared" ca="1" si="198"/>
        <v/>
      </c>
      <c r="AC437" s="310" t="e">
        <f t="shared" ca="1" si="199"/>
        <v>#N/A</v>
      </c>
      <c r="AD437" s="323" t="e">
        <f t="shared" ca="1" si="200"/>
        <v>#N/A</v>
      </c>
      <c r="AE437" s="324" t="e">
        <f t="shared" ca="1" si="179"/>
        <v>#N/A</v>
      </c>
      <c r="AG437" s="306">
        <f t="shared" ca="1" si="201"/>
        <v>2.9122009572261858</v>
      </c>
      <c r="AH437" s="304">
        <f t="shared" ca="1" si="202"/>
        <v>-6.7964236738287456</v>
      </c>
    </row>
    <row r="438" spans="1:34" x14ac:dyDescent="0.2">
      <c r="A438" s="347">
        <f t="shared" ca="1" si="180"/>
        <v>0.1</v>
      </c>
      <c r="B438" s="304">
        <f t="shared" ca="1" si="181"/>
        <v>30.000000000000121</v>
      </c>
      <c r="D438" s="306">
        <f t="shared" ca="1" si="182"/>
        <v>-0.97135746496987796</v>
      </c>
      <c r="E438" s="307">
        <f t="shared" ca="1" si="183"/>
        <v>-3.0339319079535203</v>
      </c>
      <c r="F438" s="304">
        <f t="shared" ca="1" si="184"/>
        <v>3.185636223245083</v>
      </c>
      <c r="G438" s="306">
        <f t="shared" ca="1" si="185"/>
        <v>13.15905520247245</v>
      </c>
      <c r="H438" s="307">
        <f t="shared" ca="1" si="186"/>
        <v>-92.77692199017784</v>
      </c>
      <c r="I438" s="304">
        <f t="shared" ca="1" si="187"/>
        <v>93.705485366616941</v>
      </c>
      <c r="J438" s="306">
        <f t="shared" ca="1" si="188"/>
        <v>769.01208275181318</v>
      </c>
      <c r="K438" s="307">
        <f t="shared" ca="1" si="189"/>
        <v>698.9207475605906</v>
      </c>
      <c r="L438" s="304">
        <f t="shared" ca="1" si="174"/>
        <v>1039.1678376417046</v>
      </c>
      <c r="M438" s="306">
        <f t="shared" ca="1" si="190"/>
        <v>-1.4299006875928719</v>
      </c>
      <c r="N438" s="304">
        <f t="shared" ca="1" si="191"/>
        <v>-81.927274521925995</v>
      </c>
      <c r="P438" s="310">
        <f t="shared" ca="1" si="192"/>
        <v>23</v>
      </c>
      <c r="Q438" s="304">
        <f t="shared" ca="1" si="193"/>
        <v>0</v>
      </c>
      <c r="R438" s="306">
        <f t="shared" ca="1" si="194"/>
        <v>0</v>
      </c>
      <c r="S438" s="307">
        <f t="shared" ca="1" si="195"/>
        <v>2.9792999999999985</v>
      </c>
      <c r="T438" s="304">
        <f t="shared" ca="1" si="175"/>
        <v>29.226932999999988</v>
      </c>
      <c r="U438" s="311">
        <f t="shared" ca="1" si="176"/>
        <v>0</v>
      </c>
      <c r="V438" s="306">
        <f t="shared" ca="1" si="177"/>
        <v>1.1422731828675052</v>
      </c>
      <c r="W438" s="304">
        <f t="shared" ca="1" si="178"/>
        <v>20.538696597881714</v>
      </c>
      <c r="Y438" s="314" t="str">
        <f t="shared" ca="1" si="196"/>
        <v/>
      </c>
      <c r="Z438" s="315" t="str">
        <f t="shared" ca="1" si="197"/>
        <v/>
      </c>
      <c r="AA438" s="316" t="str">
        <f t="shared" ca="1" si="198"/>
        <v/>
      </c>
      <c r="AC438" s="310">
        <f t="shared" ca="1" si="199"/>
        <v>30.000000000000121</v>
      </c>
      <c r="AD438" s="323">
        <f t="shared" ca="1" si="200"/>
        <v>769.01208275181318</v>
      </c>
      <c r="AE438" s="324" t="e">
        <f t="shared" ca="1" si="179"/>
        <v>#N/A</v>
      </c>
      <c r="AG438" s="306">
        <f t="shared" ca="1" si="201"/>
        <v>2.865395059212033</v>
      </c>
      <c r="AH438" s="304">
        <f t="shared" ca="1" si="202"/>
        <v>-6.8453366690618749</v>
      </c>
    </row>
    <row r="439" spans="1:34" x14ac:dyDescent="0.2">
      <c r="A439" s="347">
        <f t="shared" ca="1" si="180"/>
        <v>0.1</v>
      </c>
      <c r="B439" s="304">
        <f t="shared" ca="1" si="181"/>
        <v>30.100000000000122</v>
      </c>
      <c r="D439" s="306">
        <f t="shared" ca="1" si="182"/>
        <v>-0.96809580255891903</v>
      </c>
      <c r="E439" s="307">
        <f t="shared" ca="1" si="183"/>
        <v>-2.9845138711666968</v>
      </c>
      <c r="F439" s="304">
        <f t="shared" ca="1" si="184"/>
        <v>3.1375998040092079</v>
      </c>
      <c r="G439" s="306">
        <f t="shared" ca="1" si="185"/>
        <v>13.062245622216558</v>
      </c>
      <c r="H439" s="307">
        <f t="shared" ca="1" si="186"/>
        <v>-93.075373377294511</v>
      </c>
      <c r="I439" s="304">
        <f t="shared" ca="1" si="187"/>
        <v>93.987485284041398</v>
      </c>
      <c r="J439" s="306">
        <f t="shared" ca="1" si="188"/>
        <v>770.32314779304761</v>
      </c>
      <c r="K439" s="307">
        <f t="shared" ca="1" si="189"/>
        <v>689.628132792217</v>
      </c>
      <c r="L439" s="304">
        <f t="shared" ca="1" si="174"/>
        <v>1033.9171695857794</v>
      </c>
      <c r="M439" s="306">
        <f t="shared" ca="1" si="190"/>
        <v>-1.4313664339629548</v>
      </c>
      <c r="N439" s="304">
        <f t="shared" ca="1" si="191"/>
        <v>-82.011255602768372</v>
      </c>
      <c r="P439" s="310">
        <f t="shared" ca="1" si="192"/>
        <v>23</v>
      </c>
      <c r="Q439" s="304">
        <f t="shared" ca="1" si="193"/>
        <v>0</v>
      </c>
      <c r="R439" s="306">
        <f t="shared" ca="1" si="194"/>
        <v>0</v>
      </c>
      <c r="S439" s="307">
        <f t="shared" ca="1" si="195"/>
        <v>2.9792999999999985</v>
      </c>
      <c r="T439" s="304">
        <f t="shared" ca="1" si="175"/>
        <v>29.226932999999988</v>
      </c>
      <c r="U439" s="311">
        <f t="shared" ca="1" si="176"/>
        <v>0</v>
      </c>
      <c r="V439" s="306">
        <f t="shared" ca="1" si="177"/>
        <v>1.1433364285478382</v>
      </c>
      <c r="W439" s="304">
        <f t="shared" ca="1" si="178"/>
        <v>20.681735048642519</v>
      </c>
      <c r="Y439" s="314" t="str">
        <f t="shared" ca="1" si="196"/>
        <v/>
      </c>
      <c r="Z439" s="315" t="str">
        <f t="shared" ca="1" si="197"/>
        <v/>
      </c>
      <c r="AA439" s="316" t="str">
        <f t="shared" ca="1" si="198"/>
        <v/>
      </c>
      <c r="AC439" s="310" t="e">
        <f t="shared" ca="1" si="199"/>
        <v>#N/A</v>
      </c>
      <c r="AD439" s="323" t="e">
        <f t="shared" ca="1" si="200"/>
        <v>#N/A</v>
      </c>
      <c r="AE439" s="324" t="e">
        <f t="shared" ca="1" si="179"/>
        <v>#N/A</v>
      </c>
      <c r="AG439" s="306">
        <f t="shared" ca="1" si="201"/>
        <v>2.8189895550211643</v>
      </c>
      <c r="AH439" s="304">
        <f t="shared" ca="1" si="202"/>
        <v>-6.8937994152591964</v>
      </c>
    </row>
    <row r="440" spans="1:34" x14ac:dyDescent="0.2">
      <c r="A440" s="347">
        <f t="shared" ca="1" si="180"/>
        <v>0.1</v>
      </c>
      <c r="B440" s="304">
        <f t="shared" ca="1" si="181"/>
        <v>30.200000000000124</v>
      </c>
      <c r="D440" s="306">
        <f t="shared" ca="1" si="182"/>
        <v>-0.96476280080774102</v>
      </c>
      <c r="E440" s="307">
        <f t="shared" ca="1" si="183"/>
        <v>-2.9355573886178954</v>
      </c>
      <c r="F440" s="304">
        <f t="shared" ca="1" si="184"/>
        <v>3.0900266088970034</v>
      </c>
      <c r="G440" s="306">
        <f t="shared" ca="1" si="185"/>
        <v>12.965769342135784</v>
      </c>
      <c r="H440" s="307">
        <f t="shared" ca="1" si="186"/>
        <v>-93.368929116156295</v>
      </c>
      <c r="I440" s="304">
        <f t="shared" ca="1" si="187"/>
        <v>94.264882638930217</v>
      </c>
      <c r="J440" s="306">
        <f t="shared" ca="1" si="188"/>
        <v>771.6245485412652</v>
      </c>
      <c r="K440" s="307">
        <f t="shared" ca="1" si="189"/>
        <v>680.30591766754446</v>
      </c>
      <c r="L440" s="304">
        <f t="shared" ca="1" si="174"/>
        <v>1028.6984910677138</v>
      </c>
      <c r="M440" s="306">
        <f t="shared" ca="1" si="190"/>
        <v>-1.4328127627949063</v>
      </c>
      <c r="N440" s="304">
        <f t="shared" ca="1" si="191"/>
        <v>-82.094124140627272</v>
      </c>
      <c r="P440" s="310">
        <f t="shared" ca="1" si="192"/>
        <v>23</v>
      </c>
      <c r="Q440" s="304">
        <f t="shared" ca="1" si="193"/>
        <v>0</v>
      </c>
      <c r="R440" s="306">
        <f t="shared" ca="1" si="194"/>
        <v>0</v>
      </c>
      <c r="S440" s="307">
        <f t="shared" ca="1" si="195"/>
        <v>2.9792999999999985</v>
      </c>
      <c r="T440" s="304">
        <f t="shared" ca="1" si="175"/>
        <v>29.226932999999988</v>
      </c>
      <c r="U440" s="311">
        <f t="shared" ca="1" si="176"/>
        <v>0</v>
      </c>
      <c r="V440" s="306">
        <f t="shared" ca="1" si="177"/>
        <v>1.1444040211532098</v>
      </c>
      <c r="W440" s="304">
        <f t="shared" ca="1" si="178"/>
        <v>20.823422307745084</v>
      </c>
      <c r="Y440" s="314" t="str">
        <f t="shared" ca="1" si="196"/>
        <v/>
      </c>
      <c r="Z440" s="315" t="str">
        <f t="shared" ca="1" si="197"/>
        <v/>
      </c>
      <c r="AA440" s="316" t="str">
        <f t="shared" ca="1" si="198"/>
        <v/>
      </c>
      <c r="AC440" s="310" t="e">
        <f t="shared" ca="1" si="199"/>
        <v>#N/A</v>
      </c>
      <c r="AD440" s="323" t="e">
        <f t="shared" ca="1" si="200"/>
        <v>#N/A</v>
      </c>
      <c r="AE440" s="324" t="e">
        <f t="shared" ca="1" si="179"/>
        <v>#N/A</v>
      </c>
      <c r="AG440" s="306">
        <f t="shared" ca="1" si="201"/>
        <v>2.7729876010312937</v>
      </c>
      <c r="AH440" s="304">
        <f t="shared" ca="1" si="202"/>
        <v>-6.9418101730750612</v>
      </c>
    </row>
    <row r="441" spans="1:34" x14ac:dyDescent="0.2">
      <c r="A441" s="347">
        <f t="shared" ca="1" si="180"/>
        <v>0.1</v>
      </c>
      <c r="B441" s="304">
        <f t="shared" ca="1" si="181"/>
        <v>30.300000000000125</v>
      </c>
      <c r="D441" s="306">
        <f t="shared" ca="1" si="182"/>
        <v>-0.96136040352599661</v>
      </c>
      <c r="E441" s="307">
        <f t="shared" ca="1" si="183"/>
        <v>-2.8870639980309649</v>
      </c>
      <c r="F441" s="304">
        <f t="shared" ca="1" si="184"/>
        <v>3.042918394271231</v>
      </c>
      <c r="G441" s="306">
        <f t="shared" ca="1" si="185"/>
        <v>12.869633301783185</v>
      </c>
      <c r="H441" s="307">
        <f t="shared" ca="1" si="186"/>
        <v>-93.657635515959385</v>
      </c>
      <c r="I441" s="304">
        <f t="shared" ca="1" si="187"/>
        <v>94.537718143409109</v>
      </c>
      <c r="J441" s="306">
        <f t="shared" ca="1" si="188"/>
        <v>772.91631867346109</v>
      </c>
      <c r="K441" s="307">
        <f t="shared" ca="1" si="189"/>
        <v>670.95458943593871</v>
      </c>
      <c r="L441" s="304">
        <f t="shared" ca="1" si="174"/>
        <v>1023.5134081959476</v>
      </c>
      <c r="M441" s="306">
        <f t="shared" ca="1" si="190"/>
        <v>-1.4342400533748838</v>
      </c>
      <c r="N441" s="304">
        <f t="shared" ca="1" si="191"/>
        <v>-82.175901866998771</v>
      </c>
      <c r="P441" s="310">
        <f t="shared" ca="1" si="192"/>
        <v>23</v>
      </c>
      <c r="Q441" s="304">
        <f t="shared" ca="1" si="193"/>
        <v>0</v>
      </c>
      <c r="R441" s="306">
        <f t="shared" ca="1" si="194"/>
        <v>0</v>
      </c>
      <c r="S441" s="307">
        <f t="shared" ca="1" si="195"/>
        <v>2.9792999999999985</v>
      </c>
      <c r="T441" s="304">
        <f t="shared" ca="1" si="175"/>
        <v>29.226932999999988</v>
      </c>
      <c r="U441" s="311">
        <f t="shared" ca="1" si="176"/>
        <v>0</v>
      </c>
      <c r="V441" s="306">
        <f t="shared" ca="1" si="177"/>
        <v>1.1454759152749459</v>
      </c>
      <c r="W441" s="304">
        <f t="shared" ca="1" si="178"/>
        <v>20.963754378063719</v>
      </c>
      <c r="Y441" s="314" t="str">
        <f t="shared" ca="1" si="196"/>
        <v/>
      </c>
      <c r="Z441" s="315" t="str">
        <f t="shared" ca="1" si="197"/>
        <v/>
      </c>
      <c r="AA441" s="316" t="str">
        <f t="shared" ca="1" si="198"/>
        <v/>
      </c>
      <c r="AC441" s="310" t="e">
        <f t="shared" ca="1" si="199"/>
        <v>#N/A</v>
      </c>
      <c r="AD441" s="323" t="e">
        <f t="shared" ca="1" si="200"/>
        <v>#N/A</v>
      </c>
      <c r="AE441" s="324" t="e">
        <f t="shared" ca="1" si="179"/>
        <v>#N/A</v>
      </c>
      <c r="AG441" s="306">
        <f t="shared" ca="1" si="201"/>
        <v>2.7273921034194482</v>
      </c>
      <c r="AH441" s="304">
        <f t="shared" ca="1" si="202"/>
        <v>-6.9893674043382985</v>
      </c>
    </row>
    <row r="442" spans="1:34" x14ac:dyDescent="0.2">
      <c r="A442" s="347">
        <f t="shared" ca="1" si="180"/>
        <v>0.1</v>
      </c>
      <c r="B442" s="304">
        <f t="shared" ca="1" si="181"/>
        <v>30.400000000000126</v>
      </c>
      <c r="D442" s="306">
        <f t="shared" ca="1" si="182"/>
        <v>-0.95789053749279929</v>
      </c>
      <c r="E442" s="307">
        <f t="shared" ca="1" si="183"/>
        <v>-2.8390350376761342</v>
      </c>
      <c r="F442" s="304">
        <f t="shared" ca="1" si="184"/>
        <v>2.9962767273686475</v>
      </c>
      <c r="G442" s="306">
        <f t="shared" ca="1" si="185"/>
        <v>12.773844248033905</v>
      </c>
      <c r="H442" s="307">
        <f t="shared" ca="1" si="186"/>
        <v>-93.941539019727003</v>
      </c>
      <c r="I442" s="304">
        <f t="shared" ca="1" si="187"/>
        <v>94.806032773594737</v>
      </c>
      <c r="J442" s="306">
        <f t="shared" ca="1" si="188"/>
        <v>774.19849255095198</v>
      </c>
      <c r="K442" s="307">
        <f t="shared" ca="1" si="189"/>
        <v>661.57463070915435</v>
      </c>
      <c r="L442" s="304">
        <f t="shared" ca="1" si="174"/>
        <v>1018.3635391480394</v>
      </c>
      <c r="M442" s="306">
        <f t="shared" ca="1" si="190"/>
        <v>-1.4356486746208346</v>
      </c>
      <c r="N442" s="304">
        <f t="shared" ca="1" si="191"/>
        <v>-82.256609919324205</v>
      </c>
      <c r="P442" s="310">
        <f t="shared" ca="1" si="192"/>
        <v>23</v>
      </c>
      <c r="Q442" s="304">
        <f t="shared" ca="1" si="193"/>
        <v>0</v>
      </c>
      <c r="R442" s="306">
        <f t="shared" ca="1" si="194"/>
        <v>0</v>
      </c>
      <c r="S442" s="307">
        <f t="shared" ca="1" si="195"/>
        <v>2.9792999999999985</v>
      </c>
      <c r="T442" s="304">
        <f t="shared" ca="1" si="175"/>
        <v>29.226932999999988</v>
      </c>
      <c r="U442" s="311">
        <f t="shared" ca="1" si="176"/>
        <v>0</v>
      </c>
      <c r="V442" s="306">
        <f t="shared" ca="1" si="177"/>
        <v>1.1465520658900628</v>
      </c>
      <c r="W442" s="304">
        <f t="shared" ca="1" si="178"/>
        <v>21.102727834217649</v>
      </c>
      <c r="Y442" s="314" t="str">
        <f t="shared" ca="1" si="196"/>
        <v/>
      </c>
      <c r="Z442" s="315" t="str">
        <f t="shared" ca="1" si="197"/>
        <v/>
      </c>
      <c r="AA442" s="316" t="str">
        <f t="shared" ca="1" si="198"/>
        <v/>
      </c>
      <c r="AC442" s="310" t="e">
        <f t="shared" ca="1" si="199"/>
        <v>#N/A</v>
      </c>
      <c r="AD442" s="323" t="e">
        <f t="shared" ca="1" si="200"/>
        <v>#N/A</v>
      </c>
      <c r="AE442" s="324" t="e">
        <f t="shared" ca="1" si="179"/>
        <v>#N/A</v>
      </c>
      <c r="AG442" s="306">
        <f t="shared" ca="1" si="201"/>
        <v>2.6822057248121469</v>
      </c>
      <c r="AH442" s="304">
        <f t="shared" ca="1" si="202"/>
        <v>-7.0364697674164161</v>
      </c>
    </row>
    <row r="443" spans="1:34" x14ac:dyDescent="0.2">
      <c r="A443" s="347">
        <f t="shared" ca="1" si="180"/>
        <v>0.1</v>
      </c>
      <c r="B443" s="304">
        <f t="shared" ca="1" si="181"/>
        <v>30.500000000000128</v>
      </c>
      <c r="D443" s="306">
        <f t="shared" ca="1" si="182"/>
        <v>-0.95435511186236366</v>
      </c>
      <c r="E443" s="307">
        <f t="shared" ca="1" si="183"/>
        <v>-2.7914716510659492</v>
      </c>
      <c r="F443" s="304">
        <f t="shared" ca="1" si="184"/>
        <v>2.9501029911246626</v>
      </c>
      <c r="G443" s="306">
        <f t="shared" ca="1" si="185"/>
        <v>12.678408736847668</v>
      </c>
      <c r="H443" s="307">
        <f t="shared" ca="1" si="186"/>
        <v>-94.220686184833596</v>
      </c>
      <c r="I443" s="304">
        <f t="shared" ca="1" si="187"/>
        <v>95.06986774598704</v>
      </c>
      <c r="J443" s="306">
        <f t="shared" ca="1" si="188"/>
        <v>775.47110520019601</v>
      </c>
      <c r="K443" s="307">
        <f t="shared" ca="1" si="189"/>
        <v>652.16651944892635</v>
      </c>
      <c r="L443" s="304">
        <f t="shared" ca="1" si="174"/>
        <v>1013.2505139848389</v>
      </c>
      <c r="M443" s="306">
        <f t="shared" ca="1" si="190"/>
        <v>-1.4370389854337577</v>
      </c>
      <c r="N443" s="304">
        <f t="shared" ca="1" si="191"/>
        <v>-82.33626886111611</v>
      </c>
      <c r="P443" s="310">
        <f t="shared" ca="1" si="192"/>
        <v>23</v>
      </c>
      <c r="Q443" s="304">
        <f t="shared" ca="1" si="193"/>
        <v>0</v>
      </c>
      <c r="R443" s="306">
        <f t="shared" ca="1" si="194"/>
        <v>0</v>
      </c>
      <c r="S443" s="307">
        <f t="shared" ca="1" si="195"/>
        <v>2.9792999999999985</v>
      </c>
      <c r="T443" s="304">
        <f t="shared" ca="1" si="175"/>
        <v>29.226932999999988</v>
      </c>
      <c r="U443" s="311">
        <f t="shared" ca="1" si="176"/>
        <v>0</v>
      </c>
      <c r="V443" s="306">
        <f t="shared" ca="1" si="177"/>
        <v>1.1476324283631383</v>
      </c>
      <c r="W443" s="304">
        <f t="shared" ca="1" si="178"/>
        <v>21.240339808789614</v>
      </c>
      <c r="Y443" s="314" t="str">
        <f t="shared" ca="1" si="196"/>
        <v/>
      </c>
      <c r="Z443" s="315" t="str">
        <f t="shared" ca="1" si="197"/>
        <v/>
      </c>
      <c r="AA443" s="316" t="str">
        <f t="shared" ca="1" si="198"/>
        <v/>
      </c>
      <c r="AC443" s="310" t="e">
        <f t="shared" ca="1" si="199"/>
        <v>#N/A</v>
      </c>
      <c r="AD443" s="323" t="e">
        <f t="shared" ca="1" si="200"/>
        <v>#N/A</v>
      </c>
      <c r="AE443" s="324" t="e">
        <f t="shared" ca="1" si="179"/>
        <v>#N/A</v>
      </c>
      <c r="AG443" s="306">
        <f t="shared" ca="1" si="201"/>
        <v>2.6374308908374759</v>
      </c>
      <c r="AH443" s="304">
        <f t="shared" ca="1" si="202"/>
        <v>-7.0831161125827071</v>
      </c>
    </row>
    <row r="444" spans="1:34" x14ac:dyDescent="0.2">
      <c r="A444" s="347">
        <f t="shared" ca="1" si="180"/>
        <v>0.1</v>
      </c>
      <c r="B444" s="304">
        <f t="shared" ca="1" si="181"/>
        <v>30.600000000000129</v>
      </c>
      <c r="D444" s="306">
        <f t="shared" ca="1" si="182"/>
        <v>-0.95075601760284878</v>
      </c>
      <c r="E444" s="307">
        <f t="shared" ca="1" si="183"/>
        <v>-2.744374791644927</v>
      </c>
      <c r="F444" s="304">
        <f t="shared" ca="1" si="184"/>
        <v>2.9043983889997196</v>
      </c>
      <c r="G444" s="306">
        <f t="shared" ca="1" si="185"/>
        <v>12.583333135087383</v>
      </c>
      <c r="H444" s="307">
        <f t="shared" ca="1" si="186"/>
        <v>-94.495123663998086</v>
      </c>
      <c r="I444" s="304">
        <f t="shared" ca="1" si="187"/>
        <v>95.329264494502837</v>
      </c>
      <c r="J444" s="306">
        <f t="shared" ca="1" si="188"/>
        <v>776.73419229379272</v>
      </c>
      <c r="K444" s="307">
        <f t="shared" ca="1" si="189"/>
        <v>642.73072895648477</v>
      </c>
      <c r="L444" s="304">
        <f t="shared" ca="1" si="174"/>
        <v>1008.1759744326508</v>
      </c>
      <c r="M444" s="306">
        <f t="shared" ca="1" si="190"/>
        <v>-1.4384113350350602</v>
      </c>
      <c r="N444" s="304">
        <f t="shared" ca="1" si="191"/>
        <v>-82.4148987012872</v>
      </c>
      <c r="P444" s="310">
        <f t="shared" ca="1" si="192"/>
        <v>23</v>
      </c>
      <c r="Q444" s="304">
        <f t="shared" ca="1" si="193"/>
        <v>0</v>
      </c>
      <c r="R444" s="306">
        <f t="shared" ca="1" si="194"/>
        <v>0</v>
      </c>
      <c r="S444" s="307">
        <f t="shared" ca="1" si="195"/>
        <v>2.9792999999999985</v>
      </c>
      <c r="T444" s="304">
        <f t="shared" ca="1" si="175"/>
        <v>29.226932999999988</v>
      </c>
      <c r="U444" s="311">
        <f t="shared" ca="1" si="176"/>
        <v>0</v>
      </c>
      <c r="V444" s="306">
        <f t="shared" ca="1" si="177"/>
        <v>1.1487169584480168</v>
      </c>
      <c r="W444" s="304">
        <f t="shared" ca="1" si="178"/>
        <v>21.376587978578058</v>
      </c>
      <c r="Y444" s="314" t="str">
        <f t="shared" ca="1" si="196"/>
        <v/>
      </c>
      <c r="Z444" s="315" t="str">
        <f t="shared" ca="1" si="197"/>
        <v/>
      </c>
      <c r="AA444" s="316" t="str">
        <f t="shared" ca="1" si="198"/>
        <v/>
      </c>
      <c r="AC444" s="310" t="e">
        <f t="shared" ca="1" si="199"/>
        <v>#N/A</v>
      </c>
      <c r="AD444" s="323" t="e">
        <f t="shared" ca="1" si="200"/>
        <v>#N/A</v>
      </c>
      <c r="AE444" s="324" t="e">
        <f t="shared" ca="1" si="179"/>
        <v>#N/A</v>
      </c>
      <c r="AG444" s="306">
        <f t="shared" ca="1" si="201"/>
        <v>2.5930697965798331</v>
      </c>
      <c r="AH444" s="304">
        <f t="shared" ca="1" si="202"/>
        <v>-7.1293054773905364</v>
      </c>
    </row>
    <row r="445" spans="1:34" x14ac:dyDescent="0.2">
      <c r="A445" s="347">
        <f t="shared" ca="1" si="180"/>
        <v>0.1</v>
      </c>
      <c r="B445" s="304">
        <f t="shared" ca="1" si="181"/>
        <v>30.700000000000131</v>
      </c>
      <c r="D445" s="306">
        <f t="shared" ca="1" si="182"/>
        <v>-0.9470951269676352</v>
      </c>
      <c r="E445" s="307">
        <f t="shared" ca="1" si="183"/>
        <v>-2.6977452274686904</v>
      </c>
      <c r="F445" s="304">
        <f t="shared" ca="1" si="184"/>
        <v>2.8591639498034978</v>
      </c>
      <c r="G445" s="306">
        <f t="shared" ca="1" si="185"/>
        <v>12.48862362239062</v>
      </c>
      <c r="H445" s="307">
        <f t="shared" ca="1" si="186"/>
        <v>-94.764898186744958</v>
      </c>
      <c r="I445" s="304">
        <f t="shared" ca="1" si="187"/>
        <v>95.584264648141072</v>
      </c>
      <c r="J445" s="306">
        <f t="shared" ca="1" si="188"/>
        <v>777.98779013166666</v>
      </c>
      <c r="K445" s="307">
        <f t="shared" ca="1" si="189"/>
        <v>633.26772786394758</v>
      </c>
      <c r="L445" s="304">
        <f t="shared" ca="1" si="174"/>
        <v>1003.1415736315193</v>
      </c>
      <c r="M445" s="306">
        <f t="shared" ca="1" si="190"/>
        <v>-1.4397660632906335</v>
      </c>
      <c r="N445" s="304">
        <f t="shared" ca="1" si="191"/>
        <v>-82.492518912718666</v>
      </c>
      <c r="P445" s="310">
        <f t="shared" ca="1" si="192"/>
        <v>23</v>
      </c>
      <c r="Q445" s="304">
        <f t="shared" ca="1" si="193"/>
        <v>0</v>
      </c>
      <c r="R445" s="306">
        <f t="shared" ca="1" si="194"/>
        <v>0</v>
      </c>
      <c r="S445" s="307">
        <f t="shared" ca="1" si="195"/>
        <v>2.9792999999999985</v>
      </c>
      <c r="T445" s="304">
        <f t="shared" ca="1" si="175"/>
        <v>29.226932999999988</v>
      </c>
      <c r="U445" s="311">
        <f t="shared" ca="1" si="176"/>
        <v>0</v>
      </c>
      <c r="V445" s="306">
        <f t="shared" ca="1" si="177"/>
        <v>1.149805612289349</v>
      </c>
      <c r="W445" s="304">
        <f t="shared" ca="1" si="178"/>
        <v>21.511470550894565</v>
      </c>
      <c r="Y445" s="314" t="str">
        <f t="shared" ca="1" si="196"/>
        <v/>
      </c>
      <c r="Z445" s="315" t="str">
        <f t="shared" ca="1" si="197"/>
        <v/>
      </c>
      <c r="AA445" s="316" t="str">
        <f t="shared" ca="1" si="198"/>
        <v/>
      </c>
      <c r="AC445" s="310" t="e">
        <f t="shared" ca="1" si="199"/>
        <v>#N/A</v>
      </c>
      <c r="AD445" s="323" t="e">
        <f t="shared" ca="1" si="200"/>
        <v>#N/A</v>
      </c>
      <c r="AE445" s="324" t="e">
        <f t="shared" ca="1" si="179"/>
        <v>#N/A</v>
      </c>
      <c r="AG445" s="306">
        <f t="shared" ca="1" si="201"/>
        <v>2.5491244129380224</v>
      </c>
      <c r="AH445" s="304">
        <f t="shared" ca="1" si="202"/>
        <v>-7.1750370820588962</v>
      </c>
    </row>
    <row r="446" spans="1:34" x14ac:dyDescent="0.2">
      <c r="A446" s="347">
        <f t="shared" ca="1" si="180"/>
        <v>0.1</v>
      </c>
      <c r="B446" s="304">
        <f t="shared" ca="1" si="181"/>
        <v>30.800000000000132</v>
      </c>
      <c r="D446" s="306">
        <f t="shared" ca="1" si="182"/>
        <v>-0.94337429299829234</v>
      </c>
      <c r="E446" s="307">
        <f t="shared" ca="1" si="183"/>
        <v>-2.651583545868557</v>
      </c>
      <c r="F446" s="304">
        <f t="shared" ca="1" si="184"/>
        <v>2.8144005325132562</v>
      </c>
      <c r="G446" s="306">
        <f t="shared" ca="1" si="185"/>
        <v>12.394286193090791</v>
      </c>
      <c r="H446" s="307">
        <f t="shared" ca="1" si="186"/>
        <v>-95.030056541331817</v>
      </c>
      <c r="I446" s="304">
        <f t="shared" ca="1" si="187"/>
        <v>95.834910009270445</v>
      </c>
      <c r="J446" s="306">
        <f t="shared" ca="1" si="188"/>
        <v>779.23193562244069</v>
      </c>
      <c r="K446" s="307">
        <f t="shared" ca="1" si="189"/>
        <v>623.77798012754374</v>
      </c>
      <c r="L446" s="304">
        <f t="shared" ca="1" si="174"/>
        <v>998.14897584774087</v>
      </c>
      <c r="M446" s="306">
        <f t="shared" ca="1" si="190"/>
        <v>-1.4411035010222488</v>
      </c>
      <c r="N446" s="304">
        <f t="shared" ca="1" si="191"/>
        <v>-82.569148450101778</v>
      </c>
      <c r="P446" s="310">
        <f t="shared" ca="1" si="192"/>
        <v>23</v>
      </c>
      <c r="Q446" s="304">
        <f t="shared" ca="1" si="193"/>
        <v>0</v>
      </c>
      <c r="R446" s="306">
        <f t="shared" ca="1" si="194"/>
        <v>0</v>
      </c>
      <c r="S446" s="307">
        <f t="shared" ca="1" si="195"/>
        <v>2.9792999999999985</v>
      </c>
      <c r="T446" s="304">
        <f t="shared" ca="1" si="175"/>
        <v>29.226932999999988</v>
      </c>
      <c r="U446" s="311">
        <f t="shared" ca="1" si="176"/>
        <v>0</v>
      </c>
      <c r="V446" s="306">
        <f t="shared" ca="1" si="177"/>
        <v>1.1508983464239646</v>
      </c>
      <c r="W446" s="304">
        <f t="shared" ca="1" si="178"/>
        <v>21.64498624991753</v>
      </c>
      <c r="Y446" s="314" t="str">
        <f t="shared" ca="1" si="196"/>
        <v/>
      </c>
      <c r="Z446" s="315" t="str">
        <f t="shared" ca="1" si="197"/>
        <v/>
      </c>
      <c r="AA446" s="316" t="str">
        <f t="shared" ca="1" si="198"/>
        <v/>
      </c>
      <c r="AC446" s="310" t="e">
        <f t="shared" ca="1" si="199"/>
        <v>#N/A</v>
      </c>
      <c r="AD446" s="323" t="e">
        <f t="shared" ca="1" si="200"/>
        <v>#N/A</v>
      </c>
      <c r="AE446" s="324" t="e">
        <f t="shared" ca="1" si="179"/>
        <v>#N/A</v>
      </c>
      <c r="AG446" s="306">
        <f t="shared" ca="1" si="201"/>
        <v>2.5055964928872339</v>
      </c>
      <c r="AH446" s="304">
        <f t="shared" ca="1" si="202"/>
        <v>-7.2203103248731502</v>
      </c>
    </row>
    <row r="447" spans="1:34" x14ac:dyDescent="0.2">
      <c r="A447" s="347">
        <f t="shared" ca="1" si="180"/>
        <v>0.1</v>
      </c>
      <c r="B447" s="304">
        <f t="shared" ca="1" si="181"/>
        <v>30.900000000000134</v>
      </c>
      <c r="D447" s="306">
        <f t="shared" ca="1" si="182"/>
        <v>-0.93959534905846576</v>
      </c>
      <c r="E447" s="307">
        <f t="shared" ca="1" si="183"/>
        <v>-2.6058901580977585</v>
      </c>
      <c r="F447" s="304">
        <f t="shared" ca="1" si="184"/>
        <v>2.7701088310828261</v>
      </c>
      <c r="G447" s="306">
        <f t="shared" ca="1" si="185"/>
        <v>12.300326658184945</v>
      </c>
      <c r="H447" s="307">
        <f t="shared" ca="1" si="186"/>
        <v>-95.290645557141588</v>
      </c>
      <c r="I447" s="304">
        <f t="shared" ca="1" si="187"/>
        <v>96.081242532529956</v>
      </c>
      <c r="J447" s="306">
        <f t="shared" ca="1" si="188"/>
        <v>780.46666626500451</v>
      </c>
      <c r="K447" s="307">
        <f t="shared" ca="1" si="189"/>
        <v>614.26194502262013</v>
      </c>
      <c r="L447" s="304">
        <f t="shared" ca="1" si="174"/>
        <v>993.19985614869188</v>
      </c>
      <c r="M447" s="306">
        <f t="shared" ca="1" si="190"/>
        <v>-1.4424239703068362</v>
      </c>
      <c r="N447" s="304">
        <f t="shared" ca="1" si="191"/>
        <v>-82.644805767085288</v>
      </c>
      <c r="P447" s="310">
        <f t="shared" ca="1" si="192"/>
        <v>23</v>
      </c>
      <c r="Q447" s="304">
        <f t="shared" ca="1" si="193"/>
        <v>0</v>
      </c>
      <c r="R447" s="306">
        <f t="shared" ca="1" si="194"/>
        <v>0</v>
      </c>
      <c r="S447" s="307">
        <f t="shared" ca="1" si="195"/>
        <v>2.9792999999999985</v>
      </c>
      <c r="T447" s="304">
        <f t="shared" ca="1" si="175"/>
        <v>29.226932999999988</v>
      </c>
      <c r="U447" s="311">
        <f t="shared" ca="1" si="176"/>
        <v>0</v>
      </c>
      <c r="V447" s="306">
        <f t="shared" ca="1" si="177"/>
        <v>1.1519951177820951</v>
      </c>
      <c r="W447" s="304">
        <f t="shared" ca="1" si="178"/>
        <v>21.777134303113016</v>
      </c>
      <c r="Y447" s="314" t="str">
        <f t="shared" ca="1" si="196"/>
        <v/>
      </c>
      <c r="Z447" s="315" t="str">
        <f t="shared" ca="1" si="197"/>
        <v/>
      </c>
      <c r="AA447" s="316" t="str">
        <f t="shared" ca="1" si="198"/>
        <v/>
      </c>
      <c r="AC447" s="310" t="e">
        <f t="shared" ca="1" si="199"/>
        <v>#N/A</v>
      </c>
      <c r="AD447" s="323" t="e">
        <f t="shared" ca="1" si="200"/>
        <v>#N/A</v>
      </c>
      <c r="AE447" s="324" t="e">
        <f t="shared" ca="1" si="179"/>
        <v>#N/A</v>
      </c>
      <c r="AG447" s="306">
        <f t="shared" ca="1" si="201"/>
        <v>2.4624875776454962</v>
      </c>
      <c r="AH447" s="304">
        <f t="shared" ca="1" si="202"/>
        <v>-7.2651247776046519</v>
      </c>
    </row>
    <row r="448" spans="1:34" x14ac:dyDescent="0.2">
      <c r="A448" s="347">
        <f t="shared" ca="1" si="180"/>
        <v>0.1</v>
      </c>
      <c r="B448" s="304">
        <f t="shared" ca="1" si="181"/>
        <v>31.000000000000135</v>
      </c>
      <c r="D448" s="306">
        <f t="shared" ca="1" si="182"/>
        <v>-0.93576010839794721</v>
      </c>
      <c r="E448" s="307">
        <f t="shared" ca="1" si="183"/>
        <v>-2.5606653039555036</v>
      </c>
      <c r="F448" s="304">
        <f t="shared" ca="1" si="184"/>
        <v>2.7262893792388345</v>
      </c>
      <c r="G448" s="306">
        <f t="shared" ca="1" si="185"/>
        <v>12.206750647345149</v>
      </c>
      <c r="H448" s="307">
        <f t="shared" ca="1" si="186"/>
        <v>-95.546712087537145</v>
      </c>
      <c r="I448" s="304">
        <f t="shared" ca="1" si="187"/>
        <v>96.32330430433322</v>
      </c>
      <c r="J448" s="306">
        <f t="shared" ca="1" si="188"/>
        <v>781.69202013028098</v>
      </c>
      <c r="K448" s="307">
        <f t="shared" ca="1" si="189"/>
        <v>604.72007714038614</v>
      </c>
      <c r="L448" s="304">
        <f t="shared" ca="1" si="174"/>
        <v>988.29590003805743</v>
      </c>
      <c r="M448" s="306">
        <f t="shared" ca="1" si="190"/>
        <v>-1.4437277847641876</v>
      </c>
      <c r="N448" s="304">
        <f t="shared" ca="1" si="191"/>
        <v>-82.719508832759672</v>
      </c>
      <c r="P448" s="310">
        <f t="shared" ca="1" si="192"/>
        <v>23</v>
      </c>
      <c r="Q448" s="304">
        <f t="shared" ca="1" si="193"/>
        <v>0</v>
      </c>
      <c r="R448" s="306">
        <f t="shared" ca="1" si="194"/>
        <v>0</v>
      </c>
      <c r="S448" s="307">
        <f t="shared" ca="1" si="195"/>
        <v>2.9792999999999985</v>
      </c>
      <c r="T448" s="304">
        <f t="shared" ca="1" si="175"/>
        <v>29.226932999999988</v>
      </c>
      <c r="U448" s="311">
        <f t="shared" ca="1" si="176"/>
        <v>0</v>
      </c>
      <c r="V448" s="306">
        <f t="shared" ca="1" si="177"/>
        <v>1.1530958836884346</v>
      </c>
      <c r="W448" s="304">
        <f t="shared" ca="1" si="178"/>
        <v>21.907914427732695</v>
      </c>
      <c r="Y448" s="314" t="str">
        <f t="shared" ca="1" si="196"/>
        <v/>
      </c>
      <c r="Z448" s="315" t="str">
        <f t="shared" ca="1" si="197"/>
        <v/>
      </c>
      <c r="AA448" s="316" t="str">
        <f t="shared" ca="1" si="198"/>
        <v/>
      </c>
      <c r="AC448" s="310">
        <f t="shared" ca="1" si="199"/>
        <v>31.000000000000135</v>
      </c>
      <c r="AD448" s="323">
        <f t="shared" ca="1" si="200"/>
        <v>781.69202013028098</v>
      </c>
      <c r="AE448" s="324" t="e">
        <f t="shared" ca="1" si="179"/>
        <v>#N/A</v>
      </c>
      <c r="AG448" s="306">
        <f t="shared" ca="1" si="201"/>
        <v>2.4197990027448384</v>
      </c>
      <c r="AH448" s="304">
        <f t="shared" ca="1" si="202"/>
        <v>-7.3094801809529173</v>
      </c>
    </row>
    <row r="449" spans="1:34" x14ac:dyDescent="0.2">
      <c r="A449" s="347">
        <f t="shared" ca="1" si="180"/>
        <v>0.1</v>
      </c>
      <c r="B449" s="304">
        <f t="shared" ca="1" si="181"/>
        <v>31.100000000000136</v>
      </c>
      <c r="D449" s="306">
        <f t="shared" ca="1" si="182"/>
        <v>-0.9318703637461424</v>
      </c>
      <c r="E449" s="307">
        <f t="shared" ca="1" si="183"/>
        <v>-2.5159090563854614</v>
      </c>
      <c r="F449" s="304">
        <f t="shared" ca="1" si="184"/>
        <v>2.6829425552610608</v>
      </c>
      <c r="G449" s="306">
        <f t="shared" ca="1" si="185"/>
        <v>12.113563610970536</v>
      </c>
      <c r="H449" s="307">
        <f t="shared" ca="1" si="186"/>
        <v>-95.798302993175696</v>
      </c>
      <c r="I449" s="304">
        <f t="shared" ca="1" si="187"/>
        <v>96.561137522966902</v>
      </c>
      <c r="J449" s="306">
        <f t="shared" ca="1" si="188"/>
        <v>782.90803584319679</v>
      </c>
      <c r="K449" s="307">
        <f t="shared" ca="1" si="189"/>
        <v>595.15282638635051</v>
      </c>
      <c r="L449" s="304">
        <f t="shared" ca="1" si="174"/>
        <v>983.43880304954098</v>
      </c>
      <c r="M449" s="306">
        <f t="shared" ca="1" si="190"/>
        <v>-1.4450152498335924</v>
      </c>
      <c r="N449" s="304">
        <f t="shared" ca="1" si="191"/>
        <v>-82.793275147507075</v>
      </c>
      <c r="P449" s="310">
        <f t="shared" ca="1" si="192"/>
        <v>23</v>
      </c>
      <c r="Q449" s="304">
        <f t="shared" ca="1" si="193"/>
        <v>0</v>
      </c>
      <c r="R449" s="306">
        <f t="shared" ca="1" si="194"/>
        <v>0</v>
      </c>
      <c r="S449" s="307">
        <f t="shared" ca="1" si="195"/>
        <v>2.9792999999999985</v>
      </c>
      <c r="T449" s="304">
        <f t="shared" ca="1" si="175"/>
        <v>29.226932999999988</v>
      </c>
      <c r="U449" s="311">
        <f t="shared" ca="1" si="176"/>
        <v>0</v>
      </c>
      <c r="V449" s="306">
        <f t="shared" ca="1" si="177"/>
        <v>1.1542006018630548</v>
      </c>
      <c r="W449" s="304">
        <f t="shared" ca="1" si="178"/>
        <v>22.037326817398501</v>
      </c>
      <c r="Y449" s="314" t="str">
        <f t="shared" ca="1" si="196"/>
        <v/>
      </c>
      <c r="Z449" s="315" t="str">
        <f t="shared" ca="1" si="197"/>
        <v/>
      </c>
      <c r="AA449" s="316" t="str">
        <f t="shared" ca="1" si="198"/>
        <v/>
      </c>
      <c r="AC449" s="310" t="e">
        <f t="shared" ca="1" si="199"/>
        <v>#N/A</v>
      </c>
      <c r="AD449" s="323" t="e">
        <f t="shared" ca="1" si="200"/>
        <v>#N/A</v>
      </c>
      <c r="AE449" s="324" t="e">
        <f t="shared" ca="1" si="179"/>
        <v>#N/A</v>
      </c>
      <c r="AG449" s="306">
        <f t="shared" ca="1" si="201"/>
        <v>2.3775319040076424</v>
      </c>
      <c r="AH449" s="304">
        <f t="shared" ca="1" si="202"/>
        <v>-7.3533764400136628</v>
      </c>
    </row>
    <row r="450" spans="1:34" x14ac:dyDescent="0.2">
      <c r="A450" s="347">
        <f t="shared" ca="1" si="180"/>
        <v>0.1</v>
      </c>
      <c r="B450" s="304">
        <f t="shared" ca="1" si="181"/>
        <v>31.200000000000138</v>
      </c>
      <c r="D450" s="306">
        <f t="shared" ca="1" si="182"/>
        <v>-0.92792788693420014</v>
      </c>
      <c r="E450" s="307">
        <f t="shared" ca="1" si="183"/>
        <v>-2.4716213260453133</v>
      </c>
      <c r="F450" s="304">
        <f t="shared" ca="1" si="184"/>
        <v>2.6400685867439431</v>
      </c>
      <c r="G450" s="306">
        <f t="shared" ca="1" si="185"/>
        <v>12.020770822277116</v>
      </c>
      <c r="H450" s="307">
        <f t="shared" ca="1" si="186"/>
        <v>-96.045465125780225</v>
      </c>
      <c r="I450" s="304">
        <f t="shared" ca="1" si="187"/>
        <v>96.794784479274369</v>
      </c>
      <c r="J450" s="306">
        <f t="shared" ca="1" si="188"/>
        <v>784.11475256485915</v>
      </c>
      <c r="K450" s="307">
        <f t="shared" ca="1" si="189"/>
        <v>585.5606379804027</v>
      </c>
      <c r="L450" s="304">
        <f t="shared" ca="1" si="174"/>
        <v>978.63027029714669</v>
      </c>
      <c r="M450" s="306">
        <f t="shared" ca="1" si="190"/>
        <v>-1.4462866630398947</v>
      </c>
      <c r="N450" s="304">
        <f t="shared" ca="1" si="191"/>
        <v>-82.866121758245399</v>
      </c>
      <c r="P450" s="310">
        <f t="shared" ca="1" si="192"/>
        <v>23</v>
      </c>
      <c r="Q450" s="304">
        <f t="shared" ca="1" si="193"/>
        <v>0</v>
      </c>
      <c r="R450" s="306">
        <f t="shared" ca="1" si="194"/>
        <v>0</v>
      </c>
      <c r="S450" s="307">
        <f t="shared" ca="1" si="195"/>
        <v>2.9792999999999985</v>
      </c>
      <c r="T450" s="304">
        <f t="shared" ca="1" si="175"/>
        <v>29.226932999999988</v>
      </c>
      <c r="U450" s="311">
        <f t="shared" ca="1" si="176"/>
        <v>0</v>
      </c>
      <c r="V450" s="306">
        <f t="shared" ca="1" si="177"/>
        <v>1.1553092304221679</v>
      </c>
      <c r="W450" s="304">
        <f t="shared" ca="1" si="178"/>
        <v>22.165372128783307</v>
      </c>
      <c r="Y450" s="314" t="str">
        <f t="shared" ca="1" si="196"/>
        <v/>
      </c>
      <c r="Z450" s="315" t="str">
        <f t="shared" ca="1" si="197"/>
        <v/>
      </c>
      <c r="AA450" s="316" t="str">
        <f t="shared" ca="1" si="198"/>
        <v/>
      </c>
      <c r="AC450" s="310" t="e">
        <f t="shared" ca="1" si="199"/>
        <v>#N/A</v>
      </c>
      <c r="AD450" s="323" t="e">
        <f t="shared" ca="1" si="200"/>
        <v>#N/A</v>
      </c>
      <c r="AE450" s="324" t="e">
        <f t="shared" ca="1" si="179"/>
        <v>#N/A</v>
      </c>
      <c r="AG450" s="306">
        <f t="shared" ca="1" si="201"/>
        <v>2.3356872234284651</v>
      </c>
      <c r="AH450" s="304">
        <f t="shared" ca="1" si="202"/>
        <v>-7.3968136197759584</v>
      </c>
    </row>
    <row r="451" spans="1:34" x14ac:dyDescent="0.2">
      <c r="A451" s="347">
        <f t="shared" ca="1" si="180"/>
        <v>0.1</v>
      </c>
      <c r="B451" s="304">
        <f t="shared" ca="1" si="181"/>
        <v>31.300000000000139</v>
      </c>
      <c r="D451" s="306">
        <f t="shared" ca="1" si="182"/>
        <v>-0.9239344285450255</v>
      </c>
      <c r="E451" s="307">
        <f t="shared" ca="1" si="183"/>
        <v>-2.4278018658441773</v>
      </c>
      <c r="F451" s="304">
        <f t="shared" ca="1" si="184"/>
        <v>2.5976675553363813</v>
      </c>
      <c r="G451" s="306">
        <f t="shared" ca="1" si="185"/>
        <v>11.928377379422614</v>
      </c>
      <c r="H451" s="307">
        <f t="shared" ca="1" si="186"/>
        <v>-96.288245312364637</v>
      </c>
      <c r="I451" s="304">
        <f t="shared" ca="1" si="187"/>
        <v>97.024287537915129</v>
      </c>
      <c r="J451" s="306">
        <f t="shared" ca="1" si="188"/>
        <v>785.31220997494415</v>
      </c>
      <c r="K451" s="307">
        <f t="shared" ca="1" si="189"/>
        <v>575.94395245849546</v>
      </c>
      <c r="L451" s="304">
        <f t="shared" ca="1" si="174"/>
        <v>973.87201598015156</v>
      </c>
      <c r="M451" s="306">
        <f t="shared" ca="1" si="190"/>
        <v>-1.4475423142494315</v>
      </c>
      <c r="N451" s="304">
        <f t="shared" ca="1" si="191"/>
        <v>-82.938065273092349</v>
      </c>
      <c r="P451" s="310">
        <f t="shared" ca="1" si="192"/>
        <v>23</v>
      </c>
      <c r="Q451" s="304">
        <f t="shared" ca="1" si="193"/>
        <v>0</v>
      </c>
      <c r="R451" s="306">
        <f t="shared" ca="1" si="194"/>
        <v>0</v>
      </c>
      <c r="S451" s="307">
        <f t="shared" ca="1" si="195"/>
        <v>2.9792999999999985</v>
      </c>
      <c r="T451" s="304">
        <f t="shared" ca="1" si="175"/>
        <v>29.226932999999988</v>
      </c>
      <c r="U451" s="311">
        <f t="shared" ca="1" si="176"/>
        <v>0</v>
      </c>
      <c r="V451" s="306">
        <f t="shared" ca="1" si="177"/>
        <v>1.1564217278787488</v>
      </c>
      <c r="W451" s="304">
        <f t="shared" ca="1" si="178"/>
        <v>22.292051468396224</v>
      </c>
      <c r="Y451" s="314" t="str">
        <f t="shared" ca="1" si="196"/>
        <v/>
      </c>
      <c r="Z451" s="315" t="str">
        <f t="shared" ca="1" si="197"/>
        <v/>
      </c>
      <c r="AA451" s="316" t="str">
        <f t="shared" ca="1" si="198"/>
        <v/>
      </c>
      <c r="AC451" s="310" t="e">
        <f t="shared" ca="1" si="199"/>
        <v>#N/A</v>
      </c>
      <c r="AD451" s="323" t="e">
        <f t="shared" ca="1" si="200"/>
        <v>#N/A</v>
      </c>
      <c r="AE451" s="324" t="e">
        <f t="shared" ca="1" si="179"/>
        <v>#N/A</v>
      </c>
      <c r="AG451" s="306">
        <f t="shared" ca="1" si="201"/>
        <v>2.2942657149615329</v>
      </c>
      <c r="AH451" s="304">
        <f t="shared" ca="1" si="202"/>
        <v>-7.4397919406516024</v>
      </c>
    </row>
    <row r="452" spans="1:34" x14ac:dyDescent="0.2">
      <c r="A452" s="347">
        <f t="shared" ca="1" si="180"/>
        <v>0.1</v>
      </c>
      <c r="B452" s="304">
        <f t="shared" ca="1" si="181"/>
        <v>31.400000000000141</v>
      </c>
      <c r="D452" s="306">
        <f t="shared" ca="1" si="182"/>
        <v>-0.9198917175904423</v>
      </c>
      <c r="E452" s="307">
        <f t="shared" ca="1" si="183"/>
        <v>-2.3844502754448946</v>
      </c>
      <c r="F452" s="304">
        <f t="shared" ca="1" si="184"/>
        <v>2.5557394014571844</v>
      </c>
      <c r="G452" s="306">
        <f t="shared" ca="1" si="185"/>
        <v>11.836388207663569</v>
      </c>
      <c r="H452" s="307">
        <f t="shared" ca="1" si="186"/>
        <v>-96.526690339909123</v>
      </c>
      <c r="I452" s="304">
        <f t="shared" ca="1" si="187"/>
        <v>97.24968911919062</v>
      </c>
      <c r="J452" s="306">
        <f t="shared" ca="1" si="188"/>
        <v>786.50044825429848</v>
      </c>
      <c r="K452" s="307">
        <f t="shared" ca="1" si="189"/>
        <v>566.30320567588183</v>
      </c>
      <c r="L452" s="304">
        <f t="shared" ref="L452:L515" ca="1" si="203">SQRT(pos_x^2+pos_z^2)</f>
        <v>969.16576284090456</v>
      </c>
      <c r="M452" s="306">
        <f t="shared" ca="1" si="190"/>
        <v>-1.4487824859162934</v>
      </c>
      <c r="N452" s="304">
        <f t="shared" ca="1" si="191"/>
        <v>-83.009121875475245</v>
      </c>
      <c r="P452" s="310">
        <f t="shared" ca="1" si="192"/>
        <v>23</v>
      </c>
      <c r="Q452" s="304">
        <f t="shared" ca="1" si="193"/>
        <v>0</v>
      </c>
      <c r="R452" s="306">
        <f t="shared" ca="1" si="194"/>
        <v>0</v>
      </c>
      <c r="S452" s="307">
        <f t="shared" ca="1" si="195"/>
        <v>2.9792999999999985</v>
      </c>
      <c r="T452" s="304">
        <f t="shared" ref="T452:T515" ca="1" si="204">m*g</f>
        <v>29.226932999999988</v>
      </c>
      <c r="U452" s="311">
        <f t="shared" ref="U452:U515" ca="1" si="205">IF(pos_xz&lt;L_rampe,Poids*COS(Beta),0)</f>
        <v>0</v>
      </c>
      <c r="V452" s="306">
        <f t="shared" ref="V452:V515" ca="1" si="206">Rho_moyen*(20000-Alt_rampe-pos_z)/(20000+Alt_rampe+pos_z)</f>
        <v>1.1575380531430168</v>
      </c>
      <c r="W452" s="304">
        <f t="shared" ref="W452:W515" ca="1" si="207">1/2*Rho*Sref*Cx*vit_xz^2</f>
        <v>22.41736637948074</v>
      </c>
      <c r="Y452" s="314" t="str">
        <f t="shared" ca="1" si="196"/>
        <v/>
      </c>
      <c r="Z452" s="315" t="str">
        <f t="shared" ca="1" si="197"/>
        <v/>
      </c>
      <c r="AA452" s="316" t="str">
        <f t="shared" ca="1" si="198"/>
        <v/>
      </c>
      <c r="AC452" s="310" t="e">
        <f t="shared" ca="1" si="199"/>
        <v>#N/A</v>
      </c>
      <c r="AD452" s="323" t="e">
        <f t="shared" ca="1" si="200"/>
        <v>#N/A</v>
      </c>
      <c r="AE452" s="324" t="e">
        <f t="shared" ref="AE452:AE515" ca="1" si="208">IF(t&lt;T_para, pos_z, NA())</f>
        <v>#N/A</v>
      </c>
      <c r="AG452" s="306">
        <f t="shared" ca="1" si="201"/>
        <v>2.253267950214183</v>
      </c>
      <c r="AH452" s="304">
        <f t="shared" ca="1" si="202"/>
        <v>-7.4823117740396183</v>
      </c>
    </row>
    <row r="453" spans="1:34" x14ac:dyDescent="0.2">
      <c r="A453" s="347">
        <f t="shared" ref="A453:A516" ca="1" si="209">IF(B452+0.01&lt;=T_ini+ROUNDUP(Temps_fin_propu,0), 0.01, IF(K452&gt;0, 0.1, 0.0001))</f>
        <v>0.1</v>
      </c>
      <c r="B453" s="304">
        <f t="shared" ref="B453:B516" ca="1" si="210">B452+pas</f>
        <v>31.500000000000142</v>
      </c>
      <c r="D453" s="306">
        <f t="shared" ref="D453:D516" ca="1" si="211">IF(AND(L452&lt;L_rampe,Poussee&lt;Poids*SIN(M452)),0,(-W452+Poussee)/m*COS(M452)-U452/m*SIN(M452))</f>
        <v>-0.91580146121473083</v>
      </c>
      <c r="E453" s="307">
        <f t="shared" ref="E453:E516" ca="1" si="212">IF(AND(L452&lt;L_rampe,Poussee&lt;Poids*SIN(M452)),0,(-W452+Poussee)/m*SIN(M452)+U452/m*COS(M452)-Poids/m)</f>
        <v>-2.3415660057283629</v>
      </c>
      <c r="F453" s="304">
        <f t="shared" ref="F453:F516" ca="1" si="213">SQRT(acc_x^2+acc_z^2)</f>
        <v>2.5142839289837009</v>
      </c>
      <c r="G453" s="306">
        <f t="shared" ref="G453:G516" ca="1" si="214">G452+acc_x*pas</f>
        <v>11.744808061542097</v>
      </c>
      <c r="H453" s="307">
        <f t="shared" ref="H453:H516" ca="1" si="215">H452+acc_z*pas</f>
        <v>-96.760846940481954</v>
      </c>
      <c r="I453" s="304">
        <f t="shared" ref="I453:I516" ca="1" si="216">SQRT(vit_x^2+vit_z^2)</f>
        <v>97.47103168142749</v>
      </c>
      <c r="J453" s="306">
        <f t="shared" ref="J453:J516" ca="1" si="217">J452+0.5*(vit_x+G452)*pas*(K452&gt;=0)</f>
        <v>787.67950806775877</v>
      </c>
      <c r="K453" s="307">
        <f t="shared" ref="K453:K516" ca="1" si="218">K452+0.5*(vit_z+H452)*pas</f>
        <v>556.63882881186225</v>
      </c>
      <c r="L453" s="304">
        <f t="shared" ca="1" si="203"/>
        <v>964.513241573649</v>
      </c>
      <c r="M453" s="306">
        <f t="shared" ref="M453:M516" ca="1" si="219">IF(AND(L452&gt;L_rampe,G453&gt;0),ATAN2(G453,H453),$M$4)</f>
        <v>-1.4500074533193257</v>
      </c>
      <c r="N453" s="304">
        <f t="shared" ref="N453:N516" ca="1" si="220">DEGREES(Beta)</f>
        <v>-83.079307337710091</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2.9792999999999985</v>
      </c>
      <c r="T453" s="304">
        <f t="shared" ca="1" si="204"/>
        <v>29.226932999999988</v>
      </c>
      <c r="U453" s="311">
        <f t="shared" ca="1" si="205"/>
        <v>0</v>
      </c>
      <c r="V453" s="306">
        <f t="shared" ca="1" si="206"/>
        <v>1.1586581655227788</v>
      </c>
      <c r="W453" s="304">
        <f t="shared" ca="1" si="207"/>
        <v>22.541318829033372</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t="e">
        <f t="shared" ca="1" si="208"/>
        <v>#N/A</v>
      </c>
      <c r="AG453" s="306">
        <f t="shared" ref="AG453:AG516" ca="1" si="230">IF(AND(L452&lt;L_rampe,Poussee&lt;Poids*SIN(M452)),0,(-W452+Poussee)/m-Poids*SIN(M452)/m)</f>
        <v>2.2126943240464669</v>
      </c>
      <c r="AH453" s="304">
        <f t="shared" ref="AH453:AH516" ca="1" si="231">IF(AND(L452&lt;L_rampe,Poussee&lt;Poids*SIN(M452)), g*SIN(M452), (-W452+Poussee)/m)</f>
        <v>-7.5243736379286243</v>
      </c>
    </row>
    <row r="454" spans="1:34" x14ac:dyDescent="0.2">
      <c r="A454" s="347">
        <f t="shared" ca="1" si="209"/>
        <v>0.1</v>
      </c>
      <c r="B454" s="304">
        <f t="shared" ca="1" si="210"/>
        <v>31.600000000000144</v>
      </c>
      <c r="D454" s="306">
        <f t="shared" ca="1" si="211"/>
        <v>-0.91166534442379676</v>
      </c>
      <c r="E454" s="307">
        <f t="shared" ca="1" si="212"/>
        <v>-2.2991483632172445</v>
      </c>
      <c r="F454" s="304">
        <f t="shared" ca="1" si="213"/>
        <v>2.4733008099113003</v>
      </c>
      <c r="G454" s="306">
        <f t="shared" ca="1" si="214"/>
        <v>11.653641527099717</v>
      </c>
      <c r="H454" s="307">
        <f t="shared" ca="1" si="215"/>
        <v>-96.99076177680368</v>
      </c>
      <c r="I454" s="304">
        <f t="shared" ca="1" si="216"/>
        <v>97.688357703908736</v>
      </c>
      <c r="J454" s="306">
        <f t="shared" ca="1" si="217"/>
        <v>788.84943054719088</v>
      </c>
      <c r="K454" s="307">
        <f t="shared" ca="1" si="218"/>
        <v>546.95124837599792</v>
      </c>
      <c r="L454" s="304">
        <f t="shared" ca="1" si="203"/>
        <v>959.91619018260656</v>
      </c>
      <c r="M454" s="306">
        <f t="shared" ca="1" si="219"/>
        <v>-1.4512174847902644</v>
      </c>
      <c r="N454" s="304">
        <f t="shared" ca="1" si="220"/>
        <v>-83.148637034072891</v>
      </c>
      <c r="P454" s="310">
        <f t="shared" ca="1" si="221"/>
        <v>23</v>
      </c>
      <c r="Q454" s="304">
        <f t="shared" ca="1" si="222"/>
        <v>0</v>
      </c>
      <c r="R454" s="306">
        <f t="shared" ca="1" si="223"/>
        <v>0</v>
      </c>
      <c r="S454" s="307">
        <f t="shared" ca="1" si="224"/>
        <v>2.9792999999999985</v>
      </c>
      <c r="T454" s="304">
        <f t="shared" ca="1" si="204"/>
        <v>29.226932999999988</v>
      </c>
      <c r="U454" s="311">
        <f t="shared" ca="1" si="205"/>
        <v>0</v>
      </c>
      <c r="V454" s="306">
        <f t="shared" ca="1" si="206"/>
        <v>1.1597820247236386</v>
      </c>
      <c r="W454" s="304">
        <f t="shared" ca="1" si="207"/>
        <v>22.663911194950231</v>
      </c>
      <c r="Y454" s="314" t="str">
        <f t="shared" ca="1" si="225"/>
        <v/>
      </c>
      <c r="Z454" s="315" t="str">
        <f t="shared" ca="1" si="226"/>
        <v/>
      </c>
      <c r="AA454" s="316" t="str">
        <f t="shared" ca="1" si="227"/>
        <v/>
      </c>
      <c r="AC454" s="310" t="e">
        <f t="shared" ca="1" si="228"/>
        <v>#N/A</v>
      </c>
      <c r="AD454" s="323" t="e">
        <f t="shared" ca="1" si="229"/>
        <v>#N/A</v>
      </c>
      <c r="AE454" s="324" t="e">
        <f t="shared" ca="1" si="208"/>
        <v>#N/A</v>
      </c>
      <c r="AG454" s="306">
        <f t="shared" ca="1" si="230"/>
        <v>2.172545060077125</v>
      </c>
      <c r="AH454" s="304">
        <f t="shared" ca="1" si="231"/>
        <v>-7.5659781925396512</v>
      </c>
    </row>
    <row r="455" spans="1:34" x14ac:dyDescent="0.2">
      <c r="A455" s="347">
        <f t="shared" ca="1" si="209"/>
        <v>0.1</v>
      </c>
      <c r="B455" s="304">
        <f t="shared" ca="1" si="210"/>
        <v>31.700000000000145</v>
      </c>
      <c r="D455" s="306">
        <f t="shared" ca="1" si="211"/>
        <v>-0.90748502983924018</v>
      </c>
      <c r="E455" s="307">
        <f t="shared" ca="1" si="212"/>
        <v>-2.2571965144564903</v>
      </c>
      <c r="F455" s="304">
        <f t="shared" ca="1" si="213"/>
        <v>2.4327895889815161</v>
      </c>
      <c r="G455" s="306">
        <f t="shared" ca="1" si="214"/>
        <v>11.562893024115793</v>
      </c>
      <c r="H455" s="307">
        <f t="shared" ca="1" si="215"/>
        <v>-97.216481428249324</v>
      </c>
      <c r="I455" s="304">
        <f t="shared" ca="1" si="216"/>
        <v>97.901709670343806</v>
      </c>
      <c r="J455" s="306">
        <f t="shared" ca="1" si="217"/>
        <v>790.01025727475167</v>
      </c>
      <c r="K455" s="307">
        <f t="shared" ca="1" si="218"/>
        <v>537.24088621574526</v>
      </c>
      <c r="L455" s="304">
        <f t="shared" ca="1" si="203"/>
        <v>955.37635328764475</v>
      </c>
      <c r="M455" s="306">
        <f t="shared" ca="1" si="219"/>
        <v>-1.4524128419333913</v>
      </c>
      <c r="N455" s="304">
        <f t="shared" ca="1" si="220"/>
        <v>-83.21712595338488</v>
      </c>
      <c r="P455" s="310">
        <f t="shared" ca="1" si="221"/>
        <v>23</v>
      </c>
      <c r="Q455" s="304">
        <f t="shared" ca="1" si="222"/>
        <v>0</v>
      </c>
      <c r="R455" s="306">
        <f t="shared" ca="1" si="223"/>
        <v>0</v>
      </c>
      <c r="S455" s="307">
        <f t="shared" ca="1" si="224"/>
        <v>2.9792999999999985</v>
      </c>
      <c r="T455" s="304">
        <f t="shared" ca="1" si="204"/>
        <v>29.226932999999988</v>
      </c>
      <c r="U455" s="311">
        <f t="shared" ca="1" si="205"/>
        <v>0</v>
      </c>
      <c r="V455" s="306">
        <f t="shared" ca="1" si="206"/>
        <v>1.1609095908490799</v>
      </c>
      <c r="W455" s="304">
        <f t="shared" ca="1" si="207"/>
        <v>22.785146253308355</v>
      </c>
      <c r="Y455" s="314" t="str">
        <f t="shared" ca="1" si="225"/>
        <v/>
      </c>
      <c r="Z455" s="315" t="str">
        <f t="shared" ca="1" si="226"/>
        <v/>
      </c>
      <c r="AA455" s="316" t="str">
        <f t="shared" ca="1" si="227"/>
        <v/>
      </c>
      <c r="AC455" s="310" t="e">
        <f t="shared" ca="1" si="228"/>
        <v>#N/A</v>
      </c>
      <c r="AD455" s="323" t="e">
        <f t="shared" ca="1" si="229"/>
        <v>#N/A</v>
      </c>
      <c r="AE455" s="324" t="e">
        <f t="shared" ca="1" si="208"/>
        <v>#N/A</v>
      </c>
      <c r="AG455" s="306">
        <f t="shared" ca="1" si="230"/>
        <v>2.1328202160961149</v>
      </c>
      <c r="AH455" s="304">
        <f t="shared" ca="1" si="231"/>
        <v>-7.6071262360118963</v>
      </c>
    </row>
    <row r="456" spans="1:34" x14ac:dyDescent="0.2">
      <c r="A456" s="347">
        <f t="shared" ca="1" si="209"/>
        <v>0.1</v>
      </c>
      <c r="B456" s="304">
        <f t="shared" ca="1" si="210"/>
        <v>31.800000000000146</v>
      </c>
      <c r="D456" s="306">
        <f t="shared" ca="1" si="211"/>
        <v>-0.90326215747655836</v>
      </c>
      <c r="E456" s="307">
        <f t="shared" ca="1" si="212"/>
        <v>-2.2157094903483134</v>
      </c>
      <c r="F456" s="304">
        <f t="shared" ca="1" si="213"/>
        <v>2.392749688276814</v>
      </c>
      <c r="G456" s="306">
        <f t="shared" ca="1" si="214"/>
        <v>11.472566808368137</v>
      </c>
      <c r="H456" s="307">
        <f t="shared" ca="1" si="215"/>
        <v>-97.438052377284151</v>
      </c>
      <c r="I456" s="304">
        <f t="shared" ca="1" si="216"/>
        <v>98.111130052868305</v>
      </c>
      <c r="J456" s="306">
        <f t="shared" ca="1" si="217"/>
        <v>791.16203026637584</v>
      </c>
      <c r="K456" s="307">
        <f t="shared" ca="1" si="218"/>
        <v>527.50815952546861</v>
      </c>
      <c r="L456" s="304">
        <f t="shared" ca="1" si="203"/>
        <v>950.89548137592976</v>
      </c>
      <c r="M456" s="306">
        <f t="shared" ca="1" si="219"/>
        <v>-1.4535937798370635</v>
      </c>
      <c r="N456" s="304">
        <f t="shared" ca="1" si="220"/>
        <v>-83.284788711132322</v>
      </c>
      <c r="P456" s="310">
        <f t="shared" ca="1" si="221"/>
        <v>23</v>
      </c>
      <c r="Q456" s="304">
        <f t="shared" ca="1" si="222"/>
        <v>0</v>
      </c>
      <c r="R456" s="306">
        <f t="shared" ca="1" si="223"/>
        <v>0</v>
      </c>
      <c r="S456" s="307">
        <f t="shared" ca="1" si="224"/>
        <v>2.9792999999999985</v>
      </c>
      <c r="T456" s="304">
        <f t="shared" ca="1" si="204"/>
        <v>29.226932999999988</v>
      </c>
      <c r="U456" s="311">
        <f t="shared" ca="1" si="205"/>
        <v>0</v>
      </c>
      <c r="V456" s="306">
        <f t="shared" ca="1" si="206"/>
        <v>1.1620408244004192</v>
      </c>
      <c r="W456" s="304">
        <f t="shared" ca="1" si="207"/>
        <v>22.905027165788159</v>
      </c>
      <c r="Y456" s="314" t="str">
        <f t="shared" ca="1" si="225"/>
        <v/>
      </c>
      <c r="Z456" s="315" t="str">
        <f t="shared" ca="1" si="226"/>
        <v/>
      </c>
      <c r="AA456" s="316" t="str">
        <f t="shared" ca="1" si="227"/>
        <v/>
      </c>
      <c r="AC456" s="310" t="e">
        <f t="shared" ca="1" si="228"/>
        <v>#N/A</v>
      </c>
      <c r="AD456" s="323" t="e">
        <f t="shared" ca="1" si="229"/>
        <v>#N/A</v>
      </c>
      <c r="AE456" s="324" t="e">
        <f t="shared" ca="1" si="208"/>
        <v>#N/A</v>
      </c>
      <c r="AG456" s="306">
        <f t="shared" ca="1" si="230"/>
        <v>2.0935196893838812</v>
      </c>
      <c r="AH456" s="304">
        <f t="shared" ca="1" si="231"/>
        <v>-7.647818700133711</v>
      </c>
    </row>
    <row r="457" spans="1:34" x14ac:dyDescent="0.2">
      <c r="A457" s="347">
        <f t="shared" ca="1" si="209"/>
        <v>0.1</v>
      </c>
      <c r="B457" s="304">
        <f t="shared" ca="1" si="210"/>
        <v>31.900000000000148</v>
      </c>
      <c r="D457" s="306">
        <f t="shared" ca="1" si="211"/>
        <v>-0.89899834454676919</v>
      </c>
      <c r="E457" s="307">
        <f t="shared" ca="1" si="212"/>
        <v>-2.1746861904394006</v>
      </c>
      <c r="F457" s="304">
        <f t="shared" ca="1" si="213"/>
        <v>2.353180411780122</v>
      </c>
      <c r="G457" s="306">
        <f t="shared" ca="1" si="214"/>
        <v>11.38266697391346</v>
      </c>
      <c r="H457" s="307">
        <f t="shared" ca="1" si="215"/>
        <v>-97.655520996328093</v>
      </c>
      <c r="I457" s="304">
        <f t="shared" ca="1" si="216"/>
        <v>98.316661296564064</v>
      </c>
      <c r="J457" s="306">
        <f t="shared" ca="1" si="217"/>
        <v>792.30479195548992</v>
      </c>
      <c r="K457" s="307">
        <f t="shared" ca="1" si="218"/>
        <v>517.75348085678797</v>
      </c>
      <c r="L457" s="304">
        <f t="shared" ca="1" si="203"/>
        <v>946.47532999806845</v>
      </c>
      <c r="M457" s="306">
        <f t="shared" ca="1" si="219"/>
        <v>-1.4547605472774634</v>
      </c>
      <c r="N457" s="304">
        <f t="shared" ca="1" si="220"/>
        <v>-83.351639561140516</v>
      </c>
      <c r="P457" s="310">
        <f t="shared" ca="1" si="221"/>
        <v>23</v>
      </c>
      <c r="Q457" s="304">
        <f t="shared" ca="1" si="222"/>
        <v>0</v>
      </c>
      <c r="R457" s="306">
        <f t="shared" ca="1" si="223"/>
        <v>0</v>
      </c>
      <c r="S457" s="307">
        <f t="shared" ca="1" si="224"/>
        <v>2.9792999999999985</v>
      </c>
      <c r="T457" s="304">
        <f t="shared" ca="1" si="204"/>
        <v>29.226932999999988</v>
      </c>
      <c r="U457" s="311">
        <f t="shared" ca="1" si="205"/>
        <v>0</v>
      </c>
      <c r="V457" s="306">
        <f t="shared" ca="1" si="206"/>
        <v>1.1631756862766365</v>
      </c>
      <c r="W457" s="304">
        <f t="shared" ca="1" si="207"/>
        <v>23.023557467243016</v>
      </c>
      <c r="Y457" s="314" t="str">
        <f t="shared" ca="1" si="225"/>
        <v/>
      </c>
      <c r="Z457" s="315" t="str">
        <f t="shared" ca="1" si="226"/>
        <v/>
      </c>
      <c r="AA457" s="316" t="str">
        <f t="shared" ca="1" si="227"/>
        <v/>
      </c>
      <c r="AC457" s="310" t="e">
        <f t="shared" ca="1" si="228"/>
        <v>#N/A</v>
      </c>
      <c r="AD457" s="323" t="e">
        <f t="shared" ca="1" si="229"/>
        <v>#N/A</v>
      </c>
      <c r="AE457" s="324" t="e">
        <f t="shared" ca="1" si="208"/>
        <v>#N/A</v>
      </c>
      <c r="AG457" s="306">
        <f t="shared" ca="1" si="230"/>
        <v>2.0546432219376145</v>
      </c>
      <c r="AH457" s="304">
        <f t="shared" ca="1" si="231"/>
        <v>-7.6880566461209581</v>
      </c>
    </row>
    <row r="458" spans="1:34" x14ac:dyDescent="0.2">
      <c r="A458" s="347">
        <f t="shared" ca="1" si="209"/>
        <v>0.1</v>
      </c>
      <c r="B458" s="304">
        <f t="shared" ca="1" si="210"/>
        <v>32.000000000000149</v>
      </c>
      <c r="D458" s="306">
        <f t="shared" ca="1" si="211"/>
        <v>-0.89469518528070902</v>
      </c>
      <c r="E458" s="307">
        <f t="shared" ca="1" si="212"/>
        <v>-2.1341253871582992</v>
      </c>
      <c r="F458" s="304">
        <f t="shared" ca="1" si="213"/>
        <v>2.3140809498973978</v>
      </c>
      <c r="G458" s="306">
        <f t="shared" ca="1" si="214"/>
        <v>11.293197455385389</v>
      </c>
      <c r="H458" s="307">
        <f t="shared" ca="1" si="215"/>
        <v>-97.868933535043922</v>
      </c>
      <c r="I458" s="304">
        <f t="shared" ca="1" si="216"/>
        <v>98.51834580449048</v>
      </c>
      <c r="J458" s="306">
        <f t="shared" ca="1" si="217"/>
        <v>793.43858517695492</v>
      </c>
      <c r="K458" s="307">
        <f t="shared" ca="1" si="218"/>
        <v>507.97725813021935</v>
      </c>
      <c r="L458" s="304">
        <f t="shared" ca="1" si="203"/>
        <v>942.1176589073699</v>
      </c>
      <c r="M458" s="306">
        <f t="shared" ca="1" si="219"/>
        <v>-1.4559133869148939</v>
      </c>
      <c r="N458" s="304">
        <f t="shared" ca="1" si="220"/>
        <v>-83.417692406820677</v>
      </c>
      <c r="P458" s="310">
        <f t="shared" ca="1" si="221"/>
        <v>23</v>
      </c>
      <c r="Q458" s="304">
        <f t="shared" ca="1" si="222"/>
        <v>0</v>
      </c>
      <c r="R458" s="306">
        <f t="shared" ca="1" si="223"/>
        <v>0</v>
      </c>
      <c r="S458" s="307">
        <f t="shared" ca="1" si="224"/>
        <v>2.9792999999999985</v>
      </c>
      <c r="T458" s="304">
        <f t="shared" ca="1" si="204"/>
        <v>29.226932999999988</v>
      </c>
      <c r="U458" s="311">
        <f t="shared" ca="1" si="205"/>
        <v>0</v>
      </c>
      <c r="V458" s="306">
        <f t="shared" ca="1" si="206"/>
        <v>1.1643141377740873</v>
      </c>
      <c r="W458" s="304">
        <f t="shared" ca="1" si="207"/>
        <v>23.140741053421589</v>
      </c>
      <c r="Y458" s="314" t="str">
        <f t="shared" ca="1" si="225"/>
        <v/>
      </c>
      <c r="Z458" s="315" t="str">
        <f t="shared" ca="1" si="226"/>
        <v/>
      </c>
      <c r="AA458" s="316" t="str">
        <f t="shared" ca="1" si="227"/>
        <v/>
      </c>
      <c r="AC458" s="310">
        <f t="shared" ca="1" si="228"/>
        <v>32.000000000000149</v>
      </c>
      <c r="AD458" s="323">
        <f t="shared" ca="1" si="229"/>
        <v>793.43858517695492</v>
      </c>
      <c r="AE458" s="324" t="e">
        <f t="shared" ca="1" si="208"/>
        <v>#N/A</v>
      </c>
      <c r="AG458" s="306">
        <f t="shared" ca="1" si="230"/>
        <v>2.0161904056047071</v>
      </c>
      <c r="AH458" s="304">
        <f t="shared" ca="1" si="231"/>
        <v>-7.7278412604447446</v>
      </c>
    </row>
    <row r="459" spans="1:34" x14ac:dyDescent="0.2">
      <c r="A459" s="347">
        <f t="shared" ca="1" si="209"/>
        <v>0.1</v>
      </c>
      <c r="B459" s="304">
        <f t="shared" ca="1" si="210"/>
        <v>32.100000000000151</v>
      </c>
      <c r="D459" s="306">
        <f t="shared" ca="1" si="211"/>
        <v>-0.89035425077529895</v>
      </c>
      <c r="E459" s="307">
        <f t="shared" ca="1" si="212"/>
        <v>-2.0940257300010172</v>
      </c>
      <c r="F459" s="304">
        <f t="shared" ca="1" si="213"/>
        <v>2.2754503839415916</v>
      </c>
      <c r="G459" s="306">
        <f t="shared" ca="1" si="214"/>
        <v>11.20416203030786</v>
      </c>
      <c r="H459" s="307">
        <f t="shared" ca="1" si="215"/>
        <v>-98.078336108044027</v>
      </c>
      <c r="I459" s="304">
        <f t="shared" ca="1" si="216"/>
        <v>98.716225923218147</v>
      </c>
      <c r="J459" s="306">
        <f t="shared" ca="1" si="217"/>
        <v>794.56345315123963</v>
      </c>
      <c r="K459" s="307">
        <f t="shared" ca="1" si="218"/>
        <v>498.17989464806493</v>
      </c>
      <c r="L459" s="304">
        <f t="shared" ca="1" si="203"/>
        <v>937.82423114098469</v>
      </c>
      <c r="M459" s="306">
        <f t="shared" ca="1" si="219"/>
        <v>-1.4570525354829333</v>
      </c>
      <c r="N459" s="304">
        <f t="shared" ca="1" si="220"/>
        <v>-83.482960812007704</v>
      </c>
      <c r="P459" s="310">
        <f t="shared" ca="1" si="221"/>
        <v>23</v>
      </c>
      <c r="Q459" s="304">
        <f t="shared" ca="1" si="222"/>
        <v>0</v>
      </c>
      <c r="R459" s="306">
        <f t="shared" ca="1" si="223"/>
        <v>0</v>
      </c>
      <c r="S459" s="307">
        <f t="shared" ca="1" si="224"/>
        <v>2.9792999999999985</v>
      </c>
      <c r="T459" s="304">
        <f t="shared" ca="1" si="204"/>
        <v>29.226932999999988</v>
      </c>
      <c r="U459" s="311">
        <f t="shared" ca="1" si="205"/>
        <v>0</v>
      </c>
      <c r="V459" s="306">
        <f t="shared" ca="1" si="206"/>
        <v>1.1654561405860997</v>
      </c>
      <c r="W459" s="304">
        <f t="shared" ca="1" si="207"/>
        <v>23.256582168848233</v>
      </c>
      <c r="Y459" s="314" t="str">
        <f t="shared" ca="1" si="225"/>
        <v/>
      </c>
      <c r="Z459" s="315" t="str">
        <f t="shared" ca="1" si="226"/>
        <v/>
      </c>
      <c r="AA459" s="316" t="str">
        <f t="shared" ca="1" si="227"/>
        <v/>
      </c>
      <c r="AC459" s="310" t="e">
        <f t="shared" ca="1" si="228"/>
        <v>#N/A</v>
      </c>
      <c r="AD459" s="323" t="e">
        <f t="shared" ca="1" si="229"/>
        <v>#N/A</v>
      </c>
      <c r="AE459" s="324" t="e">
        <f t="shared" ca="1" si="208"/>
        <v>#N/A</v>
      </c>
      <c r="AG459" s="306">
        <f t="shared" ca="1" si="230"/>
        <v>1.9781606871236308</v>
      </c>
      <c r="AH459" s="304">
        <f t="shared" ca="1" si="231"/>
        <v>-7.767173850710436</v>
      </c>
    </row>
    <row r="460" spans="1:34" x14ac:dyDescent="0.2">
      <c r="A460" s="347">
        <f t="shared" ca="1" si="209"/>
        <v>0.1</v>
      </c>
      <c r="B460" s="304">
        <f t="shared" ca="1" si="210"/>
        <v>32.200000000000152</v>
      </c>
      <c r="D460" s="306">
        <f t="shared" ca="1" si="211"/>
        <v>-0.88597708886104876</v>
      </c>
      <c r="E460" s="307">
        <f t="shared" ca="1" si="212"/>
        <v>-2.0543857496630071</v>
      </c>
      <c r="F460" s="304">
        <f t="shared" ca="1" si="213"/>
        <v>2.2372876905765011</v>
      </c>
      <c r="G460" s="306">
        <f t="shared" ca="1" si="214"/>
        <v>11.115564321421754</v>
      </c>
      <c r="H460" s="307">
        <f t="shared" ca="1" si="215"/>
        <v>-98.283774683010321</v>
      </c>
      <c r="I460" s="304">
        <f t="shared" ca="1" si="216"/>
        <v>98.910343928855113</v>
      </c>
      <c r="J460" s="306">
        <f t="shared" ca="1" si="217"/>
        <v>795.6794394688261</v>
      </c>
      <c r="K460" s="307">
        <f t="shared" ca="1" si="218"/>
        <v>488.3617891085122</v>
      </c>
      <c r="L460" s="304">
        <f t="shared" ca="1" si="203"/>
        <v>933.5968120418429</v>
      </c>
      <c r="M460" s="306">
        <f t="shared" ca="1" si="219"/>
        <v>-1.4581782239707444</v>
      </c>
      <c r="N460" s="304">
        <f t="shared" ca="1" si="220"/>
        <v>-83.547458011405737</v>
      </c>
      <c r="P460" s="310">
        <f t="shared" ca="1" si="221"/>
        <v>23</v>
      </c>
      <c r="Q460" s="304">
        <f t="shared" ca="1" si="222"/>
        <v>0</v>
      </c>
      <c r="R460" s="306">
        <f t="shared" ca="1" si="223"/>
        <v>0</v>
      </c>
      <c r="S460" s="307">
        <f t="shared" ca="1" si="224"/>
        <v>2.9792999999999985</v>
      </c>
      <c r="T460" s="304">
        <f t="shared" ca="1" si="204"/>
        <v>29.226932999999988</v>
      </c>
      <c r="U460" s="311">
        <f t="shared" ca="1" si="205"/>
        <v>0</v>
      </c>
      <c r="V460" s="306">
        <f t="shared" ca="1" si="206"/>
        <v>1.1666016568024535</v>
      </c>
      <c r="W460" s="304">
        <f t="shared" ca="1" si="207"/>
        <v>23.371085394865883</v>
      </c>
      <c r="Y460" s="314" t="str">
        <f t="shared" ca="1" si="225"/>
        <v/>
      </c>
      <c r="Z460" s="315" t="str">
        <f t="shared" ca="1" si="226"/>
        <v/>
      </c>
      <c r="AA460" s="316" t="str">
        <f t="shared" ca="1" si="227"/>
        <v/>
      </c>
      <c r="AC460" s="310" t="e">
        <f t="shared" ca="1" si="228"/>
        <v>#N/A</v>
      </c>
      <c r="AD460" s="323" t="e">
        <f t="shared" ca="1" si="229"/>
        <v>#N/A</v>
      </c>
      <c r="AE460" s="324" t="e">
        <f t="shared" ca="1" si="208"/>
        <v>#N/A</v>
      </c>
      <c r="AG460" s="306">
        <f t="shared" ca="1" si="230"/>
        <v>1.9405533730724667</v>
      </c>
      <c r="AH460" s="304">
        <f t="shared" ca="1" si="231"/>
        <v>-7.8060558415897177</v>
      </c>
    </row>
    <row r="461" spans="1:34" x14ac:dyDescent="0.2">
      <c r="A461" s="347">
        <f t="shared" ca="1" si="209"/>
        <v>0.1</v>
      </c>
      <c r="B461" s="304">
        <f t="shared" ca="1" si="210"/>
        <v>32.300000000000153</v>
      </c>
      <c r="D461" s="306">
        <f t="shared" ca="1" si="211"/>
        <v>-0.88156522399009041</v>
      </c>
      <c r="E461" s="307">
        <f t="shared" ca="1" si="212"/>
        <v>-2.0152038621159845</v>
      </c>
      <c r="F461" s="304">
        <f t="shared" ca="1" si="213"/>
        <v>2.1995917462192565</v>
      </c>
      <c r="G461" s="306">
        <f t="shared" ca="1" si="214"/>
        <v>11.027407799022745</v>
      </c>
      <c r="H461" s="307">
        <f t="shared" ca="1" si="215"/>
        <v>-98.48529506922192</v>
      </c>
      <c r="I461" s="304">
        <f t="shared" ca="1" si="216"/>
        <v>99.100742013557365</v>
      </c>
      <c r="J461" s="306">
        <f t="shared" ca="1" si="217"/>
        <v>796.78658807484828</v>
      </c>
      <c r="K461" s="307">
        <f t="shared" ca="1" si="218"/>
        <v>478.52333562090058</v>
      </c>
      <c r="L461" s="304">
        <f t="shared" ca="1" si="203"/>
        <v>929.43716822048327</v>
      </c>
      <c r="M461" s="306">
        <f t="shared" ca="1" si="219"/>
        <v>-1.459290677798819</v>
      </c>
      <c r="N461" s="304">
        <f t="shared" ca="1" si="220"/>
        <v>-83.611196920657591</v>
      </c>
      <c r="P461" s="310">
        <f t="shared" ca="1" si="221"/>
        <v>23</v>
      </c>
      <c r="Q461" s="304">
        <f t="shared" ca="1" si="222"/>
        <v>0</v>
      </c>
      <c r="R461" s="306">
        <f t="shared" ca="1" si="223"/>
        <v>0</v>
      </c>
      <c r="S461" s="307">
        <f t="shared" ca="1" si="224"/>
        <v>2.9792999999999985</v>
      </c>
      <c r="T461" s="304">
        <f t="shared" ca="1" si="204"/>
        <v>29.226932999999988</v>
      </c>
      <c r="U461" s="311">
        <f t="shared" ca="1" si="205"/>
        <v>0</v>
      </c>
      <c r="V461" s="306">
        <f t="shared" ca="1" si="206"/>
        <v>1.1677506489087557</v>
      </c>
      <c r="W461" s="304">
        <f t="shared" ca="1" si="207"/>
        <v>23.484255637846385</v>
      </c>
      <c r="Y461" s="314" t="str">
        <f t="shared" ca="1" si="225"/>
        <v/>
      </c>
      <c r="Z461" s="315" t="str">
        <f t="shared" ca="1" si="226"/>
        <v/>
      </c>
      <c r="AA461" s="316" t="str">
        <f t="shared" ca="1" si="227"/>
        <v/>
      </c>
      <c r="AC461" s="310" t="e">
        <f t="shared" ca="1" si="228"/>
        <v>#N/A</v>
      </c>
      <c r="AD461" s="323" t="e">
        <f t="shared" ca="1" si="229"/>
        <v>#N/A</v>
      </c>
      <c r="AE461" s="324" t="e">
        <f t="shared" ca="1" si="208"/>
        <v>#N/A</v>
      </c>
      <c r="AG461" s="306">
        <f t="shared" ca="1" si="230"/>
        <v>1.9033676347254858</v>
      </c>
      <c r="AH461" s="304">
        <f t="shared" ca="1" si="231"/>
        <v>-7.8444887708072013</v>
      </c>
    </row>
    <row r="462" spans="1:34" x14ac:dyDescent="0.2">
      <c r="A462" s="347">
        <f t="shared" ca="1" si="209"/>
        <v>0.1</v>
      </c>
      <c r="B462" s="304">
        <f t="shared" ca="1" si="210"/>
        <v>32.400000000000155</v>
      </c>
      <c r="D462" s="306">
        <f t="shared" ca="1" si="211"/>
        <v>-0.8771201571440741</v>
      </c>
      <c r="E462" s="307">
        <f t="shared" ca="1" si="212"/>
        <v>-1.9764783726279012</v>
      </c>
      <c r="F462" s="304">
        <f t="shared" ca="1" si="213"/>
        <v>2.1623613314000698</v>
      </c>
      <c r="G462" s="306">
        <f t="shared" ca="1" si="214"/>
        <v>10.939695783308338</v>
      </c>
      <c r="H462" s="307">
        <f t="shared" ca="1" si="215"/>
        <v>-98.682942906484712</v>
      </c>
      <c r="I462" s="304">
        <f t="shared" ca="1" si="216"/>
        <v>99.287462272513821</v>
      </c>
      <c r="J462" s="306">
        <f t="shared" ca="1" si="217"/>
        <v>797.88494325396482</v>
      </c>
      <c r="K462" s="307">
        <f t="shared" ca="1" si="218"/>
        <v>468.66492372211525</v>
      </c>
      <c r="L462" s="304">
        <f t="shared" ca="1" si="203"/>
        <v>925.3470664560615</v>
      </c>
      <c r="M462" s="306">
        <f t="shared" ca="1" si="219"/>
        <v>-1.4603901169884346</v>
      </c>
      <c r="N462" s="304">
        <f t="shared" ca="1" si="220"/>
        <v>-83.674190146053846</v>
      </c>
      <c r="P462" s="310">
        <f t="shared" ca="1" si="221"/>
        <v>23</v>
      </c>
      <c r="Q462" s="304">
        <f t="shared" ca="1" si="222"/>
        <v>0</v>
      </c>
      <c r="R462" s="306">
        <f t="shared" ca="1" si="223"/>
        <v>0</v>
      </c>
      <c r="S462" s="307">
        <f t="shared" ca="1" si="224"/>
        <v>2.9792999999999985</v>
      </c>
      <c r="T462" s="304">
        <f t="shared" ca="1" si="204"/>
        <v>29.226932999999988</v>
      </c>
      <c r="U462" s="311">
        <f t="shared" ca="1" si="205"/>
        <v>0</v>
      </c>
      <c r="V462" s="306">
        <f t="shared" ca="1" si="206"/>
        <v>1.1689030797857052</v>
      </c>
      <c r="W462" s="304">
        <f t="shared" ca="1" si="207"/>
        <v>23.596098117571852</v>
      </c>
      <c r="Y462" s="314" t="str">
        <f t="shared" ca="1" si="225"/>
        <v/>
      </c>
      <c r="Z462" s="315" t="str">
        <f t="shared" ca="1" si="226"/>
        <v/>
      </c>
      <c r="AA462" s="316" t="str">
        <f t="shared" ca="1" si="227"/>
        <v/>
      </c>
      <c r="AC462" s="310" t="e">
        <f t="shared" ca="1" si="228"/>
        <v>#N/A</v>
      </c>
      <c r="AD462" s="323" t="e">
        <f t="shared" ca="1" si="229"/>
        <v>#N/A</v>
      </c>
      <c r="AE462" s="324" t="e">
        <f t="shared" ca="1" si="208"/>
        <v>#N/A</v>
      </c>
      <c r="AG462" s="306">
        <f t="shared" ca="1" si="230"/>
        <v>1.8666025128178916</v>
      </c>
      <c r="AH462" s="304">
        <f t="shared" ca="1" si="231"/>
        <v>-7.8824742851832301</v>
      </c>
    </row>
    <row r="463" spans="1:34" x14ac:dyDescent="0.2">
      <c r="A463" s="347">
        <f t="shared" ca="1" si="209"/>
        <v>0.1</v>
      </c>
      <c r="B463" s="304">
        <f t="shared" ca="1" si="210"/>
        <v>32.500000000000156</v>
      </c>
      <c r="D463" s="306">
        <f t="shared" ca="1" si="211"/>
        <v>-0.87264336576117696</v>
      </c>
      <c r="E463" s="307">
        <f t="shared" ca="1" si="212"/>
        <v>-1.9382074797247881</v>
      </c>
      <c r="F463" s="304">
        <f t="shared" ca="1" si="213"/>
        <v>2.1255951350781999</v>
      </c>
      <c r="G463" s="306">
        <f t="shared" ca="1" si="214"/>
        <v>10.85243144673222</v>
      </c>
      <c r="H463" s="307">
        <f t="shared" ca="1" si="215"/>
        <v>-98.876763654457193</v>
      </c>
      <c r="I463" s="304">
        <f t="shared" ca="1" si="216"/>
        <v>99.470546691397089</v>
      </c>
      <c r="J463" s="306">
        <f t="shared" ca="1" si="217"/>
        <v>798.9745496154668</v>
      </c>
      <c r="K463" s="307">
        <f t="shared" ca="1" si="218"/>
        <v>458.78693839406816</v>
      </c>
      <c r="L463" s="304">
        <f t="shared" ca="1" si="203"/>
        <v>921.3282725360383</v>
      </c>
      <c r="M463" s="306">
        <f t="shared" ca="1" si="219"/>
        <v>-1.4614767563250708</v>
      </c>
      <c r="N463" s="304">
        <f t="shared" ca="1" si="220"/>
        <v>-83.736449993896002</v>
      </c>
      <c r="P463" s="310">
        <f t="shared" ca="1" si="221"/>
        <v>23</v>
      </c>
      <c r="Q463" s="304">
        <f t="shared" ca="1" si="222"/>
        <v>0</v>
      </c>
      <c r="R463" s="306">
        <f t="shared" ca="1" si="223"/>
        <v>0</v>
      </c>
      <c r="S463" s="307">
        <f t="shared" ca="1" si="224"/>
        <v>2.9792999999999985</v>
      </c>
      <c r="T463" s="304">
        <f t="shared" ca="1" si="204"/>
        <v>29.226932999999988</v>
      </c>
      <c r="U463" s="311">
        <f t="shared" ca="1" si="205"/>
        <v>0</v>
      </c>
      <c r="V463" s="306">
        <f t="shared" ca="1" si="206"/>
        <v>1.1700589127082579</v>
      </c>
      <c r="W463" s="304">
        <f t="shared" ca="1" si="207"/>
        <v>23.706618355791047</v>
      </c>
      <c r="Y463" s="314" t="str">
        <f t="shared" ca="1" si="225"/>
        <v/>
      </c>
      <c r="Z463" s="315" t="str">
        <f t="shared" ca="1" si="226"/>
        <v/>
      </c>
      <c r="AA463" s="316" t="str">
        <f t="shared" ca="1" si="227"/>
        <v/>
      </c>
      <c r="AC463" s="310" t="e">
        <f t="shared" ca="1" si="228"/>
        <v>#N/A</v>
      </c>
      <c r="AD463" s="323" t="e">
        <f t="shared" ca="1" si="229"/>
        <v>#N/A</v>
      </c>
      <c r="AE463" s="324" t="e">
        <f t="shared" ca="1" si="208"/>
        <v>#N/A</v>
      </c>
      <c r="AG463" s="306">
        <f t="shared" ca="1" si="230"/>
        <v>1.8302569222192728</v>
      </c>
      <c r="AH463" s="304">
        <f t="shared" ca="1" si="231"/>
        <v>-7.9200141367340864</v>
      </c>
    </row>
    <row r="464" spans="1:34" x14ac:dyDescent="0.2">
      <c r="A464" s="347">
        <f t="shared" ca="1" si="209"/>
        <v>0.1</v>
      </c>
      <c r="B464" s="304">
        <f t="shared" ca="1" si="210"/>
        <v>32.600000000000158</v>
      </c>
      <c r="D464" s="306">
        <f t="shared" ca="1" si="211"/>
        <v>-0.8681363036816061</v>
      </c>
      <c r="E464" s="307">
        <f t="shared" ca="1" si="212"/>
        <v>-1.9003892790931118</v>
      </c>
      <c r="F464" s="304">
        <f t="shared" ca="1" si="213"/>
        <v>2.0892917589130531</v>
      </c>
      <c r="G464" s="306">
        <f t="shared" ca="1" si="214"/>
        <v>10.76561781636406</v>
      </c>
      <c r="H464" s="307">
        <f t="shared" ca="1" si="215"/>
        <v>-99.066802582366506</v>
      </c>
      <c r="I464" s="304">
        <f t="shared" ca="1" si="216"/>
        <v>99.650037134271031</v>
      </c>
      <c r="J464" s="306">
        <f t="shared" ca="1" si="217"/>
        <v>800.05545207862156</v>
      </c>
      <c r="K464" s="307">
        <f t="shared" ca="1" si="218"/>
        <v>448.88976008222699</v>
      </c>
      <c r="L464" s="304">
        <f t="shared" ca="1" si="203"/>
        <v>917.38255003428469</v>
      </c>
      <c r="M464" s="306">
        <f t="shared" ca="1" si="219"/>
        <v>-1.4625508055160394</v>
      </c>
      <c r="N464" s="304">
        <f t="shared" ca="1" si="220"/>
        <v>-83.797988479527945</v>
      </c>
      <c r="P464" s="310">
        <f t="shared" ca="1" si="221"/>
        <v>23</v>
      </c>
      <c r="Q464" s="304">
        <f t="shared" ca="1" si="222"/>
        <v>0</v>
      </c>
      <c r="R464" s="306">
        <f t="shared" ca="1" si="223"/>
        <v>0</v>
      </c>
      <c r="S464" s="307">
        <f t="shared" ca="1" si="224"/>
        <v>2.9792999999999985</v>
      </c>
      <c r="T464" s="304">
        <f t="shared" ca="1" si="204"/>
        <v>29.226932999999988</v>
      </c>
      <c r="U464" s="311">
        <f t="shared" ca="1" si="205"/>
        <v>0</v>
      </c>
      <c r="V464" s="306">
        <f t="shared" ca="1" si="206"/>
        <v>1.1712181113446898</v>
      </c>
      <c r="W464" s="304">
        <f t="shared" ca="1" si="207"/>
        <v>23.815822164954056</v>
      </c>
      <c r="Y464" s="314" t="str">
        <f t="shared" ca="1" si="225"/>
        <v/>
      </c>
      <c r="Z464" s="315" t="str">
        <f t="shared" ca="1" si="226"/>
        <v/>
      </c>
      <c r="AA464" s="316" t="str">
        <f t="shared" ca="1" si="227"/>
        <v/>
      </c>
      <c r="AC464" s="310" t="e">
        <f t="shared" ca="1" si="228"/>
        <v>#N/A</v>
      </c>
      <c r="AD464" s="323" t="e">
        <f t="shared" ca="1" si="229"/>
        <v>#N/A</v>
      </c>
      <c r="AE464" s="324" t="e">
        <f t="shared" ca="1" si="208"/>
        <v>#N/A</v>
      </c>
      <c r="AG464" s="306">
        <f t="shared" ca="1" si="230"/>
        <v>1.7943296565159654</v>
      </c>
      <c r="AH464" s="304">
        <f t="shared" ca="1" si="231"/>
        <v>-7.9571101788309528</v>
      </c>
    </row>
    <row r="465" spans="1:34" x14ac:dyDescent="0.2">
      <c r="A465" s="347">
        <f t="shared" ca="1" si="209"/>
        <v>0.1</v>
      </c>
      <c r="B465" s="304">
        <f t="shared" ca="1" si="210"/>
        <v>32.700000000000159</v>
      </c>
      <c r="D465" s="306">
        <f t="shared" ca="1" si="211"/>
        <v>-0.8636004011108851</v>
      </c>
      <c r="E465" s="307">
        <f t="shared" ca="1" si="212"/>
        <v>-1.8630217674214977</v>
      </c>
      <c r="F465" s="304">
        <f t="shared" ca="1" si="213"/>
        <v>2.0534497214894749</v>
      </c>
      <c r="G465" s="306">
        <f t="shared" ca="1" si="214"/>
        <v>10.679257776252971</v>
      </c>
      <c r="H465" s="307">
        <f t="shared" ca="1" si="215"/>
        <v>-99.253104759108652</v>
      </c>
      <c r="I465" s="304">
        <f t="shared" ca="1" si="216"/>
        <v>99.825975331945827</v>
      </c>
      <c r="J465" s="306">
        <f t="shared" ca="1" si="217"/>
        <v>801.12769585825242</v>
      </c>
      <c r="K465" s="307">
        <f t="shared" ca="1" si="218"/>
        <v>438.97376471515321</v>
      </c>
      <c r="L465" s="304">
        <f t="shared" ca="1" si="203"/>
        <v>913.51165902759408</v>
      </c>
      <c r="M465" s="306">
        <f t="shared" ca="1" si="219"/>
        <v>-1.4636124693425583</v>
      </c>
      <c r="N465" s="304">
        <f t="shared" ca="1" si="220"/>
        <v>-83.858817336049185</v>
      </c>
      <c r="P465" s="310">
        <f t="shared" ca="1" si="221"/>
        <v>23</v>
      </c>
      <c r="Q465" s="304">
        <f t="shared" ca="1" si="222"/>
        <v>0</v>
      </c>
      <c r="R465" s="306">
        <f t="shared" ca="1" si="223"/>
        <v>0</v>
      </c>
      <c r="S465" s="307">
        <f t="shared" ca="1" si="224"/>
        <v>2.9792999999999985</v>
      </c>
      <c r="T465" s="304">
        <f t="shared" ca="1" si="204"/>
        <v>29.226932999999988</v>
      </c>
      <c r="U465" s="311">
        <f t="shared" ca="1" si="205"/>
        <v>0</v>
      </c>
      <c r="V465" s="306">
        <f t="shared" ca="1" si="206"/>
        <v>1.1723806397555641</v>
      </c>
      <c r="W465" s="304">
        <f t="shared" ca="1" si="207"/>
        <v>23.92371563712819</v>
      </c>
      <c r="Y465" s="314" t="str">
        <f t="shared" ca="1" si="225"/>
        <v/>
      </c>
      <c r="Z465" s="315" t="str">
        <f t="shared" ca="1" si="226"/>
        <v/>
      </c>
      <c r="AA465" s="316" t="str">
        <f t="shared" ca="1" si="227"/>
        <v/>
      </c>
      <c r="AC465" s="310" t="e">
        <f t="shared" ca="1" si="228"/>
        <v>#N/A</v>
      </c>
      <c r="AD465" s="323" t="e">
        <f t="shared" ca="1" si="229"/>
        <v>#N/A</v>
      </c>
      <c r="AE465" s="324" t="e">
        <f t="shared" ca="1" si="208"/>
        <v>#N/A</v>
      </c>
      <c r="AG465" s="306">
        <f t="shared" ca="1" si="230"/>
        <v>1.7588193925027857</v>
      </c>
      <c r="AH465" s="304">
        <f t="shared" ca="1" si="231"/>
        <v>-7.9937643624187116</v>
      </c>
    </row>
    <row r="466" spans="1:34" x14ac:dyDescent="0.2">
      <c r="A466" s="347">
        <f t="shared" ca="1" si="209"/>
        <v>0.1</v>
      </c>
      <c r="B466" s="304">
        <f t="shared" ca="1" si="210"/>
        <v>32.800000000000161</v>
      </c>
      <c r="D466" s="306">
        <f t="shared" ca="1" si="211"/>
        <v>-0.85903706460026774</v>
      </c>
      <c r="E466" s="307">
        <f t="shared" ca="1" si="212"/>
        <v>-1.8261028461808095</v>
      </c>
      <c r="F466" s="304">
        <f t="shared" ca="1" si="213"/>
        <v>2.0180674624964099</v>
      </c>
      <c r="G466" s="306">
        <f t="shared" ca="1" si="214"/>
        <v>10.593354069792944</v>
      </c>
      <c r="H466" s="307">
        <f t="shared" ca="1" si="215"/>
        <v>-99.435715043726731</v>
      </c>
      <c r="I466" s="304">
        <f t="shared" ca="1" si="216"/>
        <v>99.998402870771997</v>
      </c>
      <c r="J466" s="306">
        <f t="shared" ca="1" si="217"/>
        <v>802.1913264505547</v>
      </c>
      <c r="K466" s="307">
        <f t="shared" ca="1" si="218"/>
        <v>429.03932372501146</v>
      </c>
      <c r="L466" s="304">
        <f t="shared" ca="1" si="203"/>
        <v>909.71735475086734</v>
      </c>
      <c r="M466" s="306">
        <f t="shared" ca="1" si="219"/>
        <v>-1.4646619478064917</v>
      </c>
      <c r="N466" s="304">
        <f t="shared" ca="1" si="220"/>
        <v>-83.918948022722432</v>
      </c>
      <c r="P466" s="310">
        <f t="shared" ca="1" si="221"/>
        <v>23</v>
      </c>
      <c r="Q466" s="304">
        <f t="shared" ca="1" si="222"/>
        <v>0</v>
      </c>
      <c r="R466" s="306">
        <f t="shared" ca="1" si="223"/>
        <v>0</v>
      </c>
      <c r="S466" s="307">
        <f t="shared" ca="1" si="224"/>
        <v>2.9792999999999985</v>
      </c>
      <c r="T466" s="304">
        <f t="shared" ca="1" si="204"/>
        <v>29.226932999999988</v>
      </c>
      <c r="U466" s="311">
        <f t="shared" ca="1" si="205"/>
        <v>0</v>
      </c>
      <c r="V466" s="306">
        <f t="shared" ca="1" si="206"/>
        <v>1.1735464623926031</v>
      </c>
      <c r="W466" s="304">
        <f t="shared" ca="1" si="207"/>
        <v>24.030305133098025</v>
      </c>
      <c r="Y466" s="314" t="str">
        <f t="shared" ca="1" si="225"/>
        <v/>
      </c>
      <c r="Z466" s="315" t="str">
        <f t="shared" ca="1" si="226"/>
        <v/>
      </c>
      <c r="AA466" s="316" t="str">
        <f t="shared" ca="1" si="227"/>
        <v/>
      </c>
      <c r="AC466" s="310" t="e">
        <f t="shared" ca="1" si="228"/>
        <v>#N/A</v>
      </c>
      <c r="AD466" s="323" t="e">
        <f t="shared" ca="1" si="229"/>
        <v>#N/A</v>
      </c>
      <c r="AE466" s="324" t="e">
        <f t="shared" ca="1" si="208"/>
        <v>#N/A</v>
      </c>
      <c r="AG466" s="306">
        <f t="shared" ca="1" si="230"/>
        <v>1.7237246945846039</v>
      </c>
      <c r="AH466" s="304">
        <f t="shared" ca="1" si="231"/>
        <v>-8.0299787322955734</v>
      </c>
    </row>
    <row r="467" spans="1:34" x14ac:dyDescent="0.2">
      <c r="A467" s="347">
        <f t="shared" ca="1" si="209"/>
        <v>0.1</v>
      </c>
      <c r="B467" s="304">
        <f t="shared" ca="1" si="210"/>
        <v>32.900000000000162</v>
      </c>
      <c r="D467" s="306">
        <f t="shared" ca="1" si="211"/>
        <v>-0.85444767704365243</v>
      </c>
      <c r="E467" s="307">
        <f t="shared" ca="1" si="212"/>
        <v>-1.7896303253415677</v>
      </c>
      <c r="F467" s="304">
        <f t="shared" ca="1" si="213"/>
        <v>1.9831433468580781</v>
      </c>
      <c r="G467" s="306">
        <f t="shared" ca="1" si="214"/>
        <v>10.50790930208858</v>
      </c>
      <c r="H467" s="307">
        <f t="shared" ca="1" si="215"/>
        <v>-99.614678076260887</v>
      </c>
      <c r="I467" s="304">
        <f t="shared" ca="1" si="216"/>
        <v>100.16736118186408</v>
      </c>
      <c r="J467" s="306">
        <f t="shared" ca="1" si="217"/>
        <v>803.24638961914877</v>
      </c>
      <c r="K467" s="307">
        <f t="shared" ca="1" si="218"/>
        <v>419.08680406901209</v>
      </c>
      <c r="L467" s="304">
        <f t="shared" ca="1" si="203"/>
        <v>906.00138619153108</v>
      </c>
      <c r="M467" s="306">
        <f t="shared" ca="1" si="219"/>
        <v>-1.4656994362719751</v>
      </c>
      <c r="N467" s="304">
        <f t="shared" ca="1" si="220"/>
        <v>-83.978391733088145</v>
      </c>
      <c r="P467" s="310">
        <f t="shared" ca="1" si="221"/>
        <v>23</v>
      </c>
      <c r="Q467" s="304">
        <f t="shared" ca="1" si="222"/>
        <v>0</v>
      </c>
      <c r="R467" s="306">
        <f t="shared" ca="1" si="223"/>
        <v>0</v>
      </c>
      <c r="S467" s="307">
        <f t="shared" ca="1" si="224"/>
        <v>2.9792999999999985</v>
      </c>
      <c r="T467" s="304">
        <f t="shared" ca="1" si="204"/>
        <v>29.226932999999988</v>
      </c>
      <c r="U467" s="311">
        <f t="shared" ca="1" si="205"/>
        <v>0</v>
      </c>
      <c r="V467" s="306">
        <f t="shared" ca="1" si="206"/>
        <v>1.1747155440974733</v>
      </c>
      <c r="W467" s="304">
        <f t="shared" ca="1" si="207"/>
        <v>24.135597271651726</v>
      </c>
      <c r="Y467" s="314" t="str">
        <f t="shared" ca="1" si="225"/>
        <v/>
      </c>
      <c r="Z467" s="315" t="str">
        <f t="shared" ca="1" si="226"/>
        <v/>
      </c>
      <c r="AA467" s="316" t="str">
        <f t="shared" ca="1" si="227"/>
        <v/>
      </c>
      <c r="AC467" s="310" t="e">
        <f t="shared" ca="1" si="228"/>
        <v>#N/A</v>
      </c>
      <c r="AD467" s="323" t="e">
        <f t="shared" ca="1" si="229"/>
        <v>#N/A</v>
      </c>
      <c r="AE467" s="324" t="e">
        <f t="shared" ca="1" si="208"/>
        <v>#N/A</v>
      </c>
      <c r="AG467" s="306">
        <f t="shared" ca="1" si="230"/>
        <v>1.689044019088108</v>
      </c>
      <c r="AH467" s="304">
        <f t="shared" ca="1" si="231"/>
        <v>-8.0657554234545152</v>
      </c>
    </row>
    <row r="468" spans="1:34" x14ac:dyDescent="0.2">
      <c r="A468" s="347">
        <f t="shared" ca="1" si="209"/>
        <v>0.1</v>
      </c>
      <c r="B468" s="304">
        <f t="shared" ca="1" si="210"/>
        <v>33.000000000000163</v>
      </c>
      <c r="D468" s="306">
        <f t="shared" ca="1" si="211"/>
        <v>-0.84983359769031663</v>
      </c>
      <c r="E468" s="307">
        <f t="shared" ca="1" si="212"/>
        <v>-1.7536019270279546</v>
      </c>
      <c r="F468" s="304">
        <f t="shared" ca="1" si="213"/>
        <v>1.9486756688170104</v>
      </c>
      <c r="G468" s="306">
        <f t="shared" ca="1" si="214"/>
        <v>10.422925942319548</v>
      </c>
      <c r="H468" s="307">
        <f t="shared" ca="1" si="215"/>
        <v>-99.790038268963684</v>
      </c>
      <c r="I468" s="304">
        <f t="shared" ca="1" si="216"/>
        <v>100.33289153074536</v>
      </c>
      <c r="J468" s="306">
        <f t="shared" ca="1" si="217"/>
        <v>804.29293138136916</v>
      </c>
      <c r="K468" s="307">
        <f t="shared" ca="1" si="218"/>
        <v>409.11656825175083</v>
      </c>
      <c r="L468" s="304">
        <f t="shared" ca="1" si="203"/>
        <v>902.36549462406049</v>
      </c>
      <c r="M468" s="306">
        <f t="shared" ca="1" si="219"/>
        <v>-1.4667251256021225</v>
      </c>
      <c r="N468" s="304">
        <f t="shared" ca="1" si="220"/>
        <v>-84.037159402797187</v>
      </c>
      <c r="P468" s="310">
        <f t="shared" ca="1" si="221"/>
        <v>23</v>
      </c>
      <c r="Q468" s="304">
        <f t="shared" ca="1" si="222"/>
        <v>0</v>
      </c>
      <c r="R468" s="306">
        <f t="shared" ca="1" si="223"/>
        <v>0</v>
      </c>
      <c r="S468" s="307">
        <f t="shared" ca="1" si="224"/>
        <v>2.9792999999999985</v>
      </c>
      <c r="T468" s="304">
        <f t="shared" ca="1" si="204"/>
        <v>29.226932999999988</v>
      </c>
      <c r="U468" s="311">
        <f t="shared" ca="1" si="205"/>
        <v>0</v>
      </c>
      <c r="V468" s="306">
        <f t="shared" ca="1" si="206"/>
        <v>1.1758878501004786</v>
      </c>
      <c r="W468" s="304">
        <f t="shared" ca="1" si="207"/>
        <v>24.239598919055922</v>
      </c>
      <c r="Y468" s="314" t="str">
        <f t="shared" ca="1" si="225"/>
        <v/>
      </c>
      <c r="Z468" s="315" t="str">
        <f t="shared" ca="1" si="226"/>
        <v/>
      </c>
      <c r="AA468" s="316" t="str">
        <f t="shared" ca="1" si="227"/>
        <v/>
      </c>
      <c r="AC468" s="310">
        <f t="shared" ca="1" si="228"/>
        <v>33.000000000000163</v>
      </c>
      <c r="AD468" s="323">
        <f t="shared" ca="1" si="229"/>
        <v>804.29293138136916</v>
      </c>
      <c r="AE468" s="324" t="e">
        <f t="shared" ca="1" si="208"/>
        <v>#N/A</v>
      </c>
      <c r="AG468" s="306">
        <f t="shared" ca="1" si="230"/>
        <v>1.6547757184843732</v>
      </c>
      <c r="AH468" s="304">
        <f t="shared" ca="1" si="231"/>
        <v>-8.1010966574872416</v>
      </c>
    </row>
    <row r="469" spans="1:34" x14ac:dyDescent="0.2">
      <c r="A469" s="347">
        <f t="shared" ca="1" si="209"/>
        <v>0.1</v>
      </c>
      <c r="B469" s="304">
        <f t="shared" ca="1" si="210"/>
        <v>33.100000000000165</v>
      </c>
      <c r="D469" s="306">
        <f t="shared" ca="1" si="211"/>
        <v>-0.84519616217288118</v>
      </c>
      <c r="E469" s="307">
        <f t="shared" ca="1" si="212"/>
        <v>-1.7180152891076457</v>
      </c>
      <c r="F469" s="304">
        <f t="shared" ca="1" si="213"/>
        <v>1.9146626559682502</v>
      </c>
      <c r="G469" s="306">
        <f t="shared" ca="1" si="214"/>
        <v>10.338406326102259</v>
      </c>
      <c r="H469" s="307">
        <f t="shared" ca="1" si="215"/>
        <v>-99.961839797874447</v>
      </c>
      <c r="I469" s="304">
        <f t="shared" ca="1" si="216"/>
        <v>100.49503500740477</v>
      </c>
      <c r="J469" s="306">
        <f t="shared" ca="1" si="217"/>
        <v>805.33099799479021</v>
      </c>
      <c r="K469" s="307">
        <f t="shared" ca="1" si="218"/>
        <v>399.12897434840892</v>
      </c>
      <c r="L469" s="304">
        <f t="shared" ca="1" si="203"/>
        <v>898.8114120858155</v>
      </c>
      <c r="M469" s="306">
        <f t="shared" ca="1" si="219"/>
        <v>-1.4677392022910158</v>
      </c>
      <c r="N469" s="304">
        <f t="shared" ca="1" si="220"/>
        <v>-84.095261717173372</v>
      </c>
      <c r="P469" s="310">
        <f t="shared" ca="1" si="221"/>
        <v>23</v>
      </c>
      <c r="Q469" s="304">
        <f t="shared" ca="1" si="222"/>
        <v>0</v>
      </c>
      <c r="R469" s="306">
        <f t="shared" ca="1" si="223"/>
        <v>0</v>
      </c>
      <c r="S469" s="307">
        <f t="shared" ca="1" si="224"/>
        <v>2.9792999999999985</v>
      </c>
      <c r="T469" s="304">
        <f t="shared" ca="1" si="204"/>
        <v>29.226932999999988</v>
      </c>
      <c r="U469" s="311">
        <f t="shared" ca="1" si="205"/>
        <v>0</v>
      </c>
      <c r="V469" s="306">
        <f t="shared" ca="1" si="206"/>
        <v>1.1770633460191731</v>
      </c>
      <c r="W469" s="304">
        <f t="shared" ca="1" si="207"/>
        <v>24.342317178720918</v>
      </c>
      <c r="Y469" s="314" t="str">
        <f t="shared" ca="1" si="225"/>
        <v/>
      </c>
      <c r="Z469" s="315" t="str">
        <f t="shared" ca="1" si="226"/>
        <v/>
      </c>
      <c r="AA469" s="316" t="str">
        <f t="shared" ca="1" si="227"/>
        <v/>
      </c>
      <c r="AC469" s="310" t="e">
        <f t="shared" ca="1" si="228"/>
        <v>#N/A</v>
      </c>
      <c r="AD469" s="323" t="e">
        <f t="shared" ca="1" si="229"/>
        <v>#N/A</v>
      </c>
      <c r="AE469" s="324" t="e">
        <f t="shared" ca="1" si="208"/>
        <v>#N/A</v>
      </c>
      <c r="AG469" s="306">
        <f t="shared" ca="1" si="230"/>
        <v>1.6209180455226928</v>
      </c>
      <c r="AH469" s="304">
        <f t="shared" ca="1" si="231"/>
        <v>-8.1360047390514332</v>
      </c>
    </row>
    <row r="470" spans="1:34" x14ac:dyDescent="0.2">
      <c r="A470" s="347">
        <f t="shared" ca="1" si="209"/>
        <v>0.1</v>
      </c>
      <c r="B470" s="304">
        <f t="shared" ca="1" si="210"/>
        <v>33.200000000000166</v>
      </c>
      <c r="D470" s="306">
        <f t="shared" ca="1" si="211"/>
        <v>-0.84053668254986569</v>
      </c>
      <c r="E470" s="307">
        <f t="shared" ca="1" si="212"/>
        <v>-1.6828679687168027</v>
      </c>
      <c r="F470" s="304">
        <f t="shared" ca="1" si="213"/>
        <v>1.8811024732440684</v>
      </c>
      <c r="G470" s="306">
        <f t="shared" ca="1" si="214"/>
        <v>10.254352657847273</v>
      </c>
      <c r="H470" s="307">
        <f t="shared" ca="1" si="215"/>
        <v>-100.13012659474613</v>
      </c>
      <c r="I470" s="304">
        <f t="shared" ca="1" si="216"/>
        <v>100.65383251675708</v>
      </c>
      <c r="J470" s="306">
        <f t="shared" ca="1" si="217"/>
        <v>806.36063594398763</v>
      </c>
      <c r="K470" s="307">
        <f t="shared" ca="1" si="218"/>
        <v>389.12437602877787</v>
      </c>
      <c r="L470" s="304">
        <f t="shared" ca="1" si="203"/>
        <v>895.34085979574161</v>
      </c>
      <c r="M470" s="306">
        <f t="shared" ca="1" si="219"/>
        <v>-1.4687418485911594</v>
      </c>
      <c r="N470" s="304">
        <f t="shared" ca="1" si="220"/>
        <v>-84.152709118516015</v>
      </c>
      <c r="P470" s="310">
        <f t="shared" ca="1" si="221"/>
        <v>23</v>
      </c>
      <c r="Q470" s="304">
        <f t="shared" ca="1" si="222"/>
        <v>0</v>
      </c>
      <c r="R470" s="306">
        <f t="shared" ca="1" si="223"/>
        <v>0</v>
      </c>
      <c r="S470" s="307">
        <f t="shared" ca="1" si="224"/>
        <v>2.9792999999999985</v>
      </c>
      <c r="T470" s="304">
        <f t="shared" ca="1" si="204"/>
        <v>29.226932999999988</v>
      </c>
      <c r="U470" s="311">
        <f t="shared" ca="1" si="205"/>
        <v>0</v>
      </c>
      <c r="V470" s="306">
        <f t="shared" ca="1" si="206"/>
        <v>1.1782419978568894</v>
      </c>
      <c r="W470" s="304">
        <f t="shared" ca="1" si="207"/>
        <v>24.443759381057617</v>
      </c>
      <c r="Y470" s="314" t="str">
        <f t="shared" ca="1" si="225"/>
        <v/>
      </c>
      <c r="Z470" s="315" t="str">
        <f t="shared" ca="1" si="226"/>
        <v/>
      </c>
      <c r="AA470" s="316" t="str">
        <f t="shared" ca="1" si="227"/>
        <v/>
      </c>
      <c r="AC470" s="310" t="e">
        <f t="shared" ca="1" si="228"/>
        <v>#N/A</v>
      </c>
      <c r="AD470" s="323" t="e">
        <f t="shared" ca="1" si="229"/>
        <v>#N/A</v>
      </c>
      <c r="AE470" s="324" t="e">
        <f t="shared" ca="1" si="208"/>
        <v>#N/A</v>
      </c>
      <c r="AG470" s="306">
        <f t="shared" ca="1" si="230"/>
        <v>1.5874691572762192</v>
      </c>
      <c r="AH470" s="304">
        <f t="shared" ca="1" si="231"/>
        <v>-8.1704820524018835</v>
      </c>
    </row>
    <row r="471" spans="1:34" x14ac:dyDescent="0.2">
      <c r="A471" s="347">
        <f t="shared" ca="1" si="209"/>
        <v>0.1</v>
      </c>
      <c r="B471" s="304">
        <f t="shared" ca="1" si="210"/>
        <v>33.300000000000168</v>
      </c>
      <c r="D471" s="306">
        <f t="shared" ca="1" si="211"/>
        <v>-0.83585644736222553</v>
      </c>
      <c r="E471" s="307">
        <f t="shared" ca="1" si="212"/>
        <v>-1.6481574457197752</v>
      </c>
      <c r="F471" s="304">
        <f t="shared" ca="1" si="213"/>
        <v>1.8479932268486632</v>
      </c>
      <c r="G471" s="306">
        <f t="shared" ca="1" si="214"/>
        <v>10.17076701311105</v>
      </c>
      <c r="H471" s="307">
        <f t="shared" ca="1" si="215"/>
        <v>-100.29494233931811</v>
      </c>
      <c r="I471" s="304">
        <f t="shared" ca="1" si="216"/>
        <v>100.80932476949805</v>
      </c>
      <c r="J471" s="306">
        <f t="shared" ca="1" si="217"/>
        <v>807.38189192753555</v>
      </c>
      <c r="K471" s="307">
        <f t="shared" ca="1" si="218"/>
        <v>379.10312258207466</v>
      </c>
      <c r="L471" s="304">
        <f t="shared" ca="1" si="203"/>
        <v>891.95554651785551</v>
      </c>
      <c r="M471" s="306">
        <f t="shared" ca="1" si="219"/>
        <v>-1.4697332426365786</v>
      </c>
      <c r="N471" s="304">
        <f t="shared" ca="1" si="220"/>
        <v>-84.209511813152929</v>
      </c>
      <c r="P471" s="310">
        <f t="shared" ca="1" si="221"/>
        <v>23</v>
      </c>
      <c r="Q471" s="304">
        <f t="shared" ca="1" si="222"/>
        <v>0</v>
      </c>
      <c r="R471" s="306">
        <f t="shared" ca="1" si="223"/>
        <v>0</v>
      </c>
      <c r="S471" s="307">
        <f t="shared" ca="1" si="224"/>
        <v>2.9792999999999985</v>
      </c>
      <c r="T471" s="304">
        <f t="shared" ca="1" si="204"/>
        <v>29.226932999999988</v>
      </c>
      <c r="U471" s="311">
        <f t="shared" ca="1" si="205"/>
        <v>0</v>
      </c>
      <c r="V471" s="306">
        <f t="shared" ca="1" si="206"/>
        <v>1.1794237720011891</v>
      </c>
      <c r="W471" s="304">
        <f t="shared" ca="1" si="207"/>
        <v>24.543933073527661</v>
      </c>
      <c r="Y471" s="314" t="str">
        <f t="shared" ca="1" si="225"/>
        <v/>
      </c>
      <c r="Z471" s="315" t="str">
        <f t="shared" ca="1" si="226"/>
        <v/>
      </c>
      <c r="AA471" s="316" t="str">
        <f t="shared" ca="1" si="227"/>
        <v/>
      </c>
      <c r="AC471" s="310" t="e">
        <f t="shared" ca="1" si="228"/>
        <v>#N/A</v>
      </c>
      <c r="AD471" s="323" t="e">
        <f t="shared" ca="1" si="229"/>
        <v>#N/A</v>
      </c>
      <c r="AE471" s="324" t="e">
        <f t="shared" ca="1" si="208"/>
        <v>#N/A</v>
      </c>
      <c r="AG471" s="306">
        <f t="shared" ca="1" si="230"/>
        <v>1.5544271191001027</v>
      </c>
      <c r="AH471" s="304">
        <f t="shared" ca="1" si="231"/>
        <v>-8.2045310579859798</v>
      </c>
    </row>
    <row r="472" spans="1:34" x14ac:dyDescent="0.2">
      <c r="A472" s="347">
        <f t="shared" ca="1" si="209"/>
        <v>0.1</v>
      </c>
      <c r="B472" s="304">
        <f t="shared" ca="1" si="210"/>
        <v>33.400000000000169</v>
      </c>
      <c r="D472" s="306">
        <f t="shared" ca="1" si="211"/>
        <v>-0.8311567217032948</v>
      </c>
      <c r="E472" s="307">
        <f t="shared" ca="1" si="212"/>
        <v>-1.6138811261029922</v>
      </c>
      <c r="F472" s="304">
        <f t="shared" ca="1" si="213"/>
        <v>1.8153329681422168</v>
      </c>
      <c r="G472" s="306">
        <f t="shared" ca="1" si="214"/>
        <v>10.08765134094072</v>
      </c>
      <c r="H472" s="307">
        <f t="shared" ca="1" si="215"/>
        <v>-100.45633045192841</v>
      </c>
      <c r="I472" s="304">
        <f t="shared" ca="1" si="216"/>
        <v>100.96155227334523</v>
      </c>
      <c r="J472" s="306">
        <f t="shared" ca="1" si="217"/>
        <v>808.39481284523811</v>
      </c>
      <c r="K472" s="307">
        <f t="shared" ca="1" si="218"/>
        <v>369.06555894251233</v>
      </c>
      <c r="L472" s="304">
        <f t="shared" ca="1" si="203"/>
        <v>888.65716687181259</v>
      </c>
      <c r="M472" s="306">
        <f t="shared" ca="1" si="219"/>
        <v>-1.4707135585617321</v>
      </c>
      <c r="N472" s="304">
        <f t="shared" ca="1" si="220"/>
        <v>-84.265679778253698</v>
      </c>
      <c r="P472" s="310">
        <f t="shared" ca="1" si="221"/>
        <v>23</v>
      </c>
      <c r="Q472" s="304">
        <f t="shared" ca="1" si="222"/>
        <v>0</v>
      </c>
      <c r="R472" s="306">
        <f t="shared" ca="1" si="223"/>
        <v>0</v>
      </c>
      <c r="S472" s="307">
        <f t="shared" ca="1" si="224"/>
        <v>2.9792999999999985</v>
      </c>
      <c r="T472" s="304">
        <f t="shared" ca="1" si="204"/>
        <v>29.226932999999988</v>
      </c>
      <c r="U472" s="311">
        <f t="shared" ca="1" si="205"/>
        <v>0</v>
      </c>
      <c r="V472" s="306">
        <f t="shared" ca="1" si="206"/>
        <v>1.1806086352222387</v>
      </c>
      <c r="W472" s="304">
        <f t="shared" ca="1" si="207"/>
        <v>24.642846010887521</v>
      </c>
      <c r="Y472" s="314" t="str">
        <f t="shared" ca="1" si="225"/>
        <v/>
      </c>
      <c r="Z472" s="315" t="str">
        <f t="shared" ca="1" si="226"/>
        <v/>
      </c>
      <c r="AA472" s="316" t="str">
        <f t="shared" ca="1" si="227"/>
        <v/>
      </c>
      <c r="AC472" s="310" t="e">
        <f t="shared" ca="1" si="228"/>
        <v>#N/A</v>
      </c>
      <c r="AD472" s="323" t="e">
        <f t="shared" ca="1" si="229"/>
        <v>#N/A</v>
      </c>
      <c r="AE472" s="324" t="e">
        <f t="shared" ca="1" si="208"/>
        <v>#N/A</v>
      </c>
      <c r="AG472" s="306">
        <f t="shared" ca="1" si="230"/>
        <v>1.5217899085026474</v>
      </c>
      <c r="AH472" s="304">
        <f t="shared" ca="1" si="231"/>
        <v>-8.2381542891040418</v>
      </c>
    </row>
    <row r="473" spans="1:34" x14ac:dyDescent="0.2">
      <c r="A473" s="347">
        <f t="shared" ca="1" si="209"/>
        <v>0.1</v>
      </c>
      <c r="B473" s="304">
        <f t="shared" ca="1" si="210"/>
        <v>33.500000000000171</v>
      </c>
      <c r="D473" s="306">
        <f t="shared" ca="1" si="211"/>
        <v>-0.82643874730152955</v>
      </c>
      <c r="E473" s="307">
        <f t="shared" ca="1" si="212"/>
        <v>-1.5800363453027462</v>
      </c>
      <c r="F473" s="304">
        <f t="shared" ca="1" si="213"/>
        <v>1.7831196974737789</v>
      </c>
      <c r="G473" s="306">
        <f t="shared" ca="1" si="214"/>
        <v>10.005007466210568</v>
      </c>
      <c r="H473" s="307">
        <f t="shared" ca="1" si="215"/>
        <v>-100.61433408645868</v>
      </c>
      <c r="I473" s="304">
        <f t="shared" ca="1" si="216"/>
        <v>101.11055532465664</v>
      </c>
      <c r="J473" s="306">
        <f t="shared" ca="1" si="217"/>
        <v>809.39944578559562</v>
      </c>
      <c r="K473" s="307">
        <f t="shared" ca="1" si="218"/>
        <v>359.01202571559298</v>
      </c>
      <c r="L473" s="304">
        <f t="shared" ca="1" si="203"/>
        <v>885.44739959324681</v>
      </c>
      <c r="M473" s="306">
        <f t="shared" ca="1" si="219"/>
        <v>-1.4716829666164009</v>
      </c>
      <c r="N473" s="304">
        <f t="shared" ca="1" si="220"/>
        <v>-84.321222768412198</v>
      </c>
      <c r="P473" s="310">
        <f t="shared" ca="1" si="221"/>
        <v>23</v>
      </c>
      <c r="Q473" s="304">
        <f t="shared" ca="1" si="222"/>
        <v>0</v>
      </c>
      <c r="R473" s="306">
        <f t="shared" ca="1" si="223"/>
        <v>0</v>
      </c>
      <c r="S473" s="307">
        <f t="shared" ca="1" si="224"/>
        <v>2.9792999999999985</v>
      </c>
      <c r="T473" s="304">
        <f t="shared" ca="1" si="204"/>
        <v>29.226932999999988</v>
      </c>
      <c r="U473" s="311">
        <f t="shared" ca="1" si="205"/>
        <v>0</v>
      </c>
      <c r="V473" s="306">
        <f t="shared" ca="1" si="206"/>
        <v>1.1817965546711107</v>
      </c>
      <c r="W473" s="304">
        <f t="shared" ca="1" si="207"/>
        <v>24.740506145627453</v>
      </c>
      <c r="Y473" s="314" t="str">
        <f t="shared" ca="1" si="225"/>
        <v/>
      </c>
      <c r="Z473" s="315" t="str">
        <f t="shared" ca="1" si="226"/>
        <v/>
      </c>
      <c r="AA473" s="316" t="str">
        <f t="shared" ca="1" si="227"/>
        <v/>
      </c>
      <c r="AC473" s="310" t="e">
        <f t="shared" ca="1" si="228"/>
        <v>#N/A</v>
      </c>
      <c r="AD473" s="323" t="e">
        <f t="shared" ca="1" si="229"/>
        <v>#N/A</v>
      </c>
      <c r="AE473" s="324" t="e">
        <f t="shared" ca="1" si="208"/>
        <v>#N/A</v>
      </c>
      <c r="AG473" s="306">
        <f t="shared" ca="1" si="230"/>
        <v>1.4895554189302231</v>
      </c>
      <c r="AH473" s="304">
        <f t="shared" ca="1" si="231"/>
        <v>-8.2713543486347572</v>
      </c>
    </row>
    <row r="474" spans="1:34" x14ac:dyDescent="0.2">
      <c r="A474" s="347">
        <f t="shared" ca="1" si="209"/>
        <v>0.1</v>
      </c>
      <c r="B474" s="304">
        <f t="shared" ca="1" si="210"/>
        <v>33.600000000000172</v>
      </c>
      <c r="D474" s="306">
        <f t="shared" ca="1" si="211"/>
        <v>-0.82170374261549739</v>
      </c>
      <c r="E474" s="307">
        <f t="shared" ca="1" si="212"/>
        <v>-1.546620371466588</v>
      </c>
      <c r="F474" s="304">
        <f t="shared" ca="1" si="213"/>
        <v>1.751351367962398</v>
      </c>
      <c r="G474" s="306">
        <f t="shared" ca="1" si="214"/>
        <v>9.9228370919490185</v>
      </c>
      <c r="H474" s="307">
        <f t="shared" ca="1" si="215"/>
        <v>-100.76899612360535</v>
      </c>
      <c r="I474" s="304">
        <f t="shared" ca="1" si="216"/>
        <v>101.25637400041811</v>
      </c>
      <c r="J474" s="306">
        <f t="shared" ca="1" si="217"/>
        <v>810.39583801350364</v>
      </c>
      <c r="K474" s="307">
        <f t="shared" ca="1" si="218"/>
        <v>348.9428592050898</v>
      </c>
      <c r="L474" s="304">
        <f t="shared" ca="1" si="203"/>
        <v>882.3279057469689</v>
      </c>
      <c r="M474" s="306">
        <f t="shared" ca="1" si="219"/>
        <v>-1.4726416332767072</v>
      </c>
      <c r="N474" s="304">
        <f t="shared" ca="1" si="220"/>
        <v>-84.376150322007646</v>
      </c>
      <c r="P474" s="310">
        <f t="shared" ca="1" si="221"/>
        <v>23</v>
      </c>
      <c r="Q474" s="304">
        <f t="shared" ca="1" si="222"/>
        <v>0</v>
      </c>
      <c r="R474" s="306">
        <f t="shared" ca="1" si="223"/>
        <v>0</v>
      </c>
      <c r="S474" s="307">
        <f t="shared" ca="1" si="224"/>
        <v>2.9792999999999985</v>
      </c>
      <c r="T474" s="304">
        <f t="shared" ca="1" si="204"/>
        <v>29.226932999999988</v>
      </c>
      <c r="U474" s="311">
        <f t="shared" ca="1" si="205"/>
        <v>0</v>
      </c>
      <c r="V474" s="306">
        <f t="shared" ca="1" si="206"/>
        <v>1.1829874978780168</v>
      </c>
      <c r="W474" s="304">
        <f t="shared" ca="1" si="207"/>
        <v>24.836921618605889</v>
      </c>
      <c r="Y474" s="314" t="str">
        <f t="shared" ca="1" si="225"/>
        <v/>
      </c>
      <c r="Z474" s="315" t="str">
        <f t="shared" ca="1" si="226"/>
        <v/>
      </c>
      <c r="AA474" s="316" t="str">
        <f t="shared" ca="1" si="227"/>
        <v/>
      </c>
      <c r="AC474" s="310" t="e">
        <f t="shared" ca="1" si="228"/>
        <v>#N/A</v>
      </c>
      <c r="AD474" s="323" t="e">
        <f t="shared" ca="1" si="229"/>
        <v>#N/A</v>
      </c>
      <c r="AE474" s="324" t="e">
        <f t="shared" ca="1" si="208"/>
        <v>#N/A</v>
      </c>
      <c r="AG474" s="306">
        <f t="shared" ca="1" si="230"/>
        <v>1.4577214634666174</v>
      </c>
      <c r="AH474" s="304">
        <f t="shared" ca="1" si="231"/>
        <v>-8.3041339058260206</v>
      </c>
    </row>
    <row r="475" spans="1:34" x14ac:dyDescent="0.2">
      <c r="A475" s="347">
        <f t="shared" ca="1" si="209"/>
        <v>0.1</v>
      </c>
      <c r="B475" s="304">
        <f t="shared" ca="1" si="210"/>
        <v>33.700000000000173</v>
      </c>
      <c r="D475" s="306">
        <f t="shared" ca="1" si="211"/>
        <v>-0.81695290294055178</v>
      </c>
      <c r="E475" s="307">
        <f t="shared" ca="1" si="212"/>
        <v>-1.5136304086481012</v>
      </c>
      <c r="F475" s="304">
        <f t="shared" ca="1" si="213"/>
        <v>1.7200258892258606</v>
      </c>
      <c r="G475" s="306">
        <f t="shared" ca="1" si="214"/>
        <v>9.8411418016549632</v>
      </c>
      <c r="H475" s="307">
        <f t="shared" ca="1" si="215"/>
        <v>-100.92035916447016</v>
      </c>
      <c r="I475" s="304">
        <f t="shared" ca="1" si="216"/>
        <v>101.39904815059131</v>
      </c>
      <c r="J475" s="306">
        <f t="shared" ca="1" si="217"/>
        <v>811.38403695818386</v>
      </c>
      <c r="K475" s="307">
        <f t="shared" ca="1" si="218"/>
        <v>338.85839144068603</v>
      </c>
      <c r="L475" s="304">
        <f t="shared" ca="1" si="203"/>
        <v>879.30032689652091</v>
      </c>
      <c r="M475" s="306">
        <f t="shared" ca="1" si="219"/>
        <v>-1.4735897213524161</v>
      </c>
      <c r="N475" s="304">
        <f t="shared" ca="1" si="220"/>
        <v>-84.430471767352444</v>
      </c>
      <c r="P475" s="310">
        <f t="shared" ca="1" si="221"/>
        <v>23</v>
      </c>
      <c r="Q475" s="304">
        <f t="shared" ca="1" si="222"/>
        <v>0</v>
      </c>
      <c r="R475" s="306">
        <f t="shared" ca="1" si="223"/>
        <v>0</v>
      </c>
      <c r="S475" s="307">
        <f t="shared" ca="1" si="224"/>
        <v>2.9792999999999985</v>
      </c>
      <c r="T475" s="304">
        <f t="shared" ca="1" si="204"/>
        <v>29.226932999999988</v>
      </c>
      <c r="U475" s="311">
        <f t="shared" ca="1" si="205"/>
        <v>0</v>
      </c>
      <c r="V475" s="306">
        <f t="shared" ca="1" si="206"/>
        <v>1.1841814327504707</v>
      </c>
      <c r="W475" s="304">
        <f t="shared" ca="1" si="207"/>
        <v>24.932100749879329</v>
      </c>
      <c r="Y475" s="314" t="str">
        <f t="shared" ca="1" si="225"/>
        <v/>
      </c>
      <c r="Z475" s="315" t="str">
        <f t="shared" ca="1" si="226"/>
        <v/>
      </c>
      <c r="AA475" s="316" t="str">
        <f t="shared" ca="1" si="227"/>
        <v/>
      </c>
      <c r="AC475" s="310" t="e">
        <f t="shared" ca="1" si="228"/>
        <v>#N/A</v>
      </c>
      <c r="AD475" s="323" t="e">
        <f t="shared" ca="1" si="229"/>
        <v>#N/A</v>
      </c>
      <c r="AE475" s="324" t="e">
        <f t="shared" ca="1" si="208"/>
        <v>#N/A</v>
      </c>
      <c r="AG475" s="306">
        <f t="shared" ca="1" si="230"/>
        <v>1.426285778447502</v>
      </c>
      <c r="AH475" s="304">
        <f t="shared" ca="1" si="231"/>
        <v>-8.3364956931513774</v>
      </c>
    </row>
    <row r="476" spans="1:34" x14ac:dyDescent="0.2">
      <c r="A476" s="347">
        <f t="shared" ca="1" si="209"/>
        <v>0.1</v>
      </c>
      <c r="B476" s="304">
        <f t="shared" ca="1" si="210"/>
        <v>33.800000000000175</v>
      </c>
      <c r="D476" s="306">
        <f t="shared" ca="1" si="211"/>
        <v>-0.81218740052662963</v>
      </c>
      <c r="E476" s="307">
        <f t="shared" ca="1" si="212"/>
        <v>-1.4810635999350428</v>
      </c>
      <c r="F476" s="304">
        <f t="shared" ca="1" si="213"/>
        <v>1.6891411310564763</v>
      </c>
      <c r="G476" s="306">
        <f t="shared" ca="1" si="214"/>
        <v>9.7599230616023007</v>
      </c>
      <c r="H476" s="307">
        <f t="shared" ca="1" si="215"/>
        <v>-101.06846552446366</v>
      </c>
      <c r="I476" s="304">
        <f t="shared" ca="1" si="216"/>
        <v>101.5386173908139</v>
      </c>
      <c r="J476" s="306">
        <f t="shared" ca="1" si="217"/>
        <v>812.3640902013467</v>
      </c>
      <c r="K476" s="307">
        <f t="shared" ca="1" si="218"/>
        <v>328.75895020623932</v>
      </c>
      <c r="L476" s="304">
        <f t="shared" ca="1" si="203"/>
        <v>876.36628323399702</v>
      </c>
      <c r="M476" s="306">
        <f t="shared" ca="1" si="219"/>
        <v>-1.4745273900906566</v>
      </c>
      <c r="N476" s="304">
        <f t="shared" ca="1" si="220"/>
        <v>-84.484196228634985</v>
      </c>
      <c r="P476" s="310">
        <f t="shared" ca="1" si="221"/>
        <v>23</v>
      </c>
      <c r="Q476" s="304">
        <f t="shared" ca="1" si="222"/>
        <v>0</v>
      </c>
      <c r="R476" s="306">
        <f t="shared" ca="1" si="223"/>
        <v>0</v>
      </c>
      <c r="S476" s="307">
        <f t="shared" ca="1" si="224"/>
        <v>2.9792999999999985</v>
      </c>
      <c r="T476" s="304">
        <f t="shared" ca="1" si="204"/>
        <v>29.226932999999988</v>
      </c>
      <c r="U476" s="311">
        <f t="shared" ca="1" si="205"/>
        <v>0</v>
      </c>
      <c r="V476" s="306">
        <f t="shared" ca="1" si="206"/>
        <v>1.1853783275713881</v>
      </c>
      <c r="W476" s="304">
        <f t="shared" ca="1" si="207"/>
        <v>25.026052029728014</v>
      </c>
      <c r="Y476" s="314" t="str">
        <f t="shared" ca="1" si="225"/>
        <v/>
      </c>
      <c r="Z476" s="315" t="str">
        <f t="shared" ca="1" si="226"/>
        <v/>
      </c>
      <c r="AA476" s="316" t="str">
        <f t="shared" ca="1" si="227"/>
        <v/>
      </c>
      <c r="AC476" s="310" t="e">
        <f t="shared" ca="1" si="228"/>
        <v>#N/A</v>
      </c>
      <c r="AD476" s="323" t="e">
        <f t="shared" ca="1" si="229"/>
        <v>#N/A</v>
      </c>
      <c r="AE476" s="324" t="e">
        <f t="shared" ca="1" si="208"/>
        <v>#N/A</v>
      </c>
      <c r="AG476" s="306">
        <f t="shared" ca="1" si="230"/>
        <v>1.3952460269908613</v>
      </c>
      <c r="AH476" s="304">
        <f t="shared" ca="1" si="231"/>
        <v>-8.3684425032320817</v>
      </c>
    </row>
    <row r="477" spans="1:34" x14ac:dyDescent="0.2">
      <c r="A477" s="347">
        <f t="shared" ca="1" si="209"/>
        <v>0.1</v>
      </c>
      <c r="B477" s="304">
        <f t="shared" ca="1" si="210"/>
        <v>33.900000000000176</v>
      </c>
      <c r="D477" s="306">
        <f t="shared" ca="1" si="211"/>
        <v>-0.80740838470666665</v>
      </c>
      <c r="E477" s="307">
        <f t="shared" ca="1" si="212"/>
        <v>-1.4489170305107244</v>
      </c>
      <c r="F477" s="304">
        <f t="shared" ca="1" si="213"/>
        <v>1.658694927043139</v>
      </c>
      <c r="G477" s="306">
        <f t="shared" ca="1" si="214"/>
        <v>9.6791822231316349</v>
      </c>
      <c r="H477" s="307">
        <f t="shared" ca="1" si="215"/>
        <v>-101.21335722751473</v>
      </c>
      <c r="I477" s="304">
        <f t="shared" ca="1" si="216"/>
        <v>101.67512109544349</v>
      </c>
      <c r="J477" s="306">
        <f t="shared" ca="1" si="217"/>
        <v>813.33604546558342</v>
      </c>
      <c r="K477" s="307">
        <f t="shared" ca="1" si="218"/>
        <v>318.64485906864041</v>
      </c>
      <c r="L477" s="304">
        <f t="shared" ca="1" si="203"/>
        <v>873.52737167444695</v>
      </c>
      <c r="M477" s="306">
        <f t="shared" ca="1" si="219"/>
        <v>-1.4754547952762034</v>
      </c>
      <c r="N477" s="304">
        <f t="shared" ca="1" si="220"/>
        <v>-84.537332631665365</v>
      </c>
      <c r="P477" s="310">
        <f t="shared" ca="1" si="221"/>
        <v>23</v>
      </c>
      <c r="Q477" s="304">
        <f t="shared" ca="1" si="222"/>
        <v>0</v>
      </c>
      <c r="R477" s="306">
        <f t="shared" ca="1" si="223"/>
        <v>0</v>
      </c>
      <c r="S477" s="307">
        <f t="shared" ca="1" si="224"/>
        <v>2.9792999999999985</v>
      </c>
      <c r="T477" s="304">
        <f t="shared" ca="1" si="204"/>
        <v>29.226932999999988</v>
      </c>
      <c r="U477" s="311">
        <f t="shared" ca="1" si="205"/>
        <v>0</v>
      </c>
      <c r="V477" s="306">
        <f t="shared" ca="1" si="206"/>
        <v>1.1865781509971254</v>
      </c>
      <c r="W477" s="304">
        <f t="shared" ca="1" si="207"/>
        <v>25.118784109877286</v>
      </c>
      <c r="Y477" s="314" t="str">
        <f t="shared" ca="1" si="225"/>
        <v/>
      </c>
      <c r="Z477" s="315" t="str">
        <f t="shared" ca="1" si="226"/>
        <v/>
      </c>
      <c r="AA477" s="316" t="str">
        <f t="shared" ca="1" si="227"/>
        <v/>
      </c>
      <c r="AC477" s="310" t="e">
        <f t="shared" ca="1" si="228"/>
        <v>#N/A</v>
      </c>
      <c r="AD477" s="323" t="e">
        <f t="shared" ca="1" si="229"/>
        <v>#N/A</v>
      </c>
      <c r="AE477" s="324" t="e">
        <f t="shared" ca="1" si="208"/>
        <v>#N/A</v>
      </c>
      <c r="AG477" s="306">
        <f t="shared" ca="1" si="230"/>
        <v>1.3645998024441006</v>
      </c>
      <c r="AH477" s="304">
        <f t="shared" ca="1" si="231"/>
        <v>-8.3999771858248664</v>
      </c>
    </row>
    <row r="478" spans="1:34" x14ac:dyDescent="0.2">
      <c r="A478" s="347">
        <f t="shared" ca="1" si="209"/>
        <v>0.1</v>
      </c>
      <c r="B478" s="304">
        <f t="shared" ca="1" si="210"/>
        <v>34.000000000000178</v>
      </c>
      <c r="D478" s="306">
        <f t="shared" ca="1" si="211"/>
        <v>-0.80261698203508058</v>
      </c>
      <c r="E478" s="307">
        <f t="shared" ca="1" si="212"/>
        <v>-1.4171877306486866</v>
      </c>
      <c r="F478" s="304">
        <f t="shared" ca="1" si="213"/>
        <v>1.628685078138888</v>
      </c>
      <c r="G478" s="306">
        <f t="shared" ca="1" si="214"/>
        <v>9.5989205249281273</v>
      </c>
      <c r="H478" s="307">
        <f t="shared" ca="1" si="215"/>
        <v>-101.3550760005796</v>
      </c>
      <c r="I478" s="304">
        <f t="shared" ca="1" si="216"/>
        <v>101.80859839093726</v>
      </c>
      <c r="J478" s="306">
        <f t="shared" ca="1" si="217"/>
        <v>814.29995060298643</v>
      </c>
      <c r="K478" s="307">
        <f t="shared" ca="1" si="218"/>
        <v>308.51643740723568</v>
      </c>
      <c r="L478" s="304">
        <f t="shared" ca="1" si="203"/>
        <v>870.7851639195967</v>
      </c>
      <c r="M478" s="306">
        <f t="shared" ca="1" si="219"/>
        <v>-1.4763720893284458</v>
      </c>
      <c r="N478" s="304">
        <f t="shared" ca="1" si="220"/>
        <v>-84.589889709431304</v>
      </c>
      <c r="P478" s="310">
        <f t="shared" ca="1" si="221"/>
        <v>23</v>
      </c>
      <c r="Q478" s="304">
        <f t="shared" ca="1" si="222"/>
        <v>0</v>
      </c>
      <c r="R478" s="306">
        <f t="shared" ca="1" si="223"/>
        <v>0</v>
      </c>
      <c r="S478" s="307">
        <f t="shared" ca="1" si="224"/>
        <v>2.9792999999999985</v>
      </c>
      <c r="T478" s="304">
        <f t="shared" ca="1" si="204"/>
        <v>29.226932999999988</v>
      </c>
      <c r="U478" s="311">
        <f t="shared" ca="1" si="205"/>
        <v>0</v>
      </c>
      <c r="V478" s="306">
        <f t="shared" ca="1" si="206"/>
        <v>1.1877808720554561</v>
      </c>
      <c r="W478" s="304">
        <f t="shared" ca="1" si="207"/>
        <v>25.210305794913978</v>
      </c>
      <c r="Y478" s="314" t="str">
        <f t="shared" ca="1" si="225"/>
        <v/>
      </c>
      <c r="Z478" s="315" t="str">
        <f t="shared" ca="1" si="226"/>
        <v/>
      </c>
      <c r="AA478" s="316" t="str">
        <f t="shared" ca="1" si="227"/>
        <v/>
      </c>
      <c r="AC478" s="310">
        <f t="shared" ca="1" si="228"/>
        <v>34.000000000000178</v>
      </c>
      <c r="AD478" s="323">
        <f t="shared" ca="1" si="229"/>
        <v>814.29995060298643</v>
      </c>
      <c r="AE478" s="324" t="e">
        <f t="shared" ca="1" si="208"/>
        <v>#N/A</v>
      </c>
      <c r="AG478" s="306">
        <f t="shared" ca="1" si="230"/>
        <v>1.3343446317486496</v>
      </c>
      <c r="AH478" s="304">
        <f t="shared" ca="1" si="231"/>
        <v>-8.4311026448754056</v>
      </c>
    </row>
    <row r="479" spans="1:34" x14ac:dyDescent="0.2">
      <c r="A479" s="347">
        <f t="shared" ca="1" si="209"/>
        <v>0.1</v>
      </c>
      <c r="B479" s="304">
        <f t="shared" ca="1" si="210"/>
        <v>34.100000000000179</v>
      </c>
      <c r="D479" s="306">
        <f t="shared" ca="1" si="211"/>
        <v>-0.79781429643582558</v>
      </c>
      <c r="E479" s="307">
        <f t="shared" ca="1" si="212"/>
        <v>-1.3858726786408564</v>
      </c>
      <c r="F479" s="304">
        <f t="shared" ca="1" si="213"/>
        <v>1.5991093561731713</v>
      </c>
      <c r="G479" s="306">
        <f t="shared" ca="1" si="214"/>
        <v>9.5191390952845456</v>
      </c>
      <c r="H479" s="307">
        <f t="shared" ca="1" si="215"/>
        <v>-101.49366326844368</v>
      </c>
      <c r="I479" s="304">
        <f t="shared" ca="1" si="216"/>
        <v>101.93908814955924</v>
      </c>
      <c r="J479" s="306">
        <f t="shared" ca="1" si="217"/>
        <v>815.25585358399701</v>
      </c>
      <c r="K479" s="307">
        <f t="shared" ca="1" si="218"/>
        <v>298.3740004437845</v>
      </c>
      <c r="L479" s="304">
        <f t="shared" ca="1" si="203"/>
        <v>868.14120449601921</v>
      </c>
      <c r="M479" s="306">
        <f t="shared" ca="1" si="219"/>
        <v>-1.4772794213951692</v>
      </c>
      <c r="N479" s="304">
        <f t="shared" ca="1" si="220"/>
        <v>-84.641876007471438</v>
      </c>
      <c r="P479" s="310">
        <f t="shared" ca="1" si="221"/>
        <v>23</v>
      </c>
      <c r="Q479" s="304">
        <f t="shared" ca="1" si="222"/>
        <v>0</v>
      </c>
      <c r="R479" s="306">
        <f t="shared" ca="1" si="223"/>
        <v>0</v>
      </c>
      <c r="S479" s="307">
        <f t="shared" ca="1" si="224"/>
        <v>2.9792999999999985</v>
      </c>
      <c r="T479" s="304">
        <f t="shared" ca="1" si="204"/>
        <v>29.226932999999988</v>
      </c>
      <c r="U479" s="311">
        <f t="shared" ca="1" si="205"/>
        <v>0</v>
      </c>
      <c r="V479" s="306">
        <f t="shared" ca="1" si="206"/>
        <v>1.1889864601434927</v>
      </c>
      <c r="W479" s="304">
        <f t="shared" ca="1" si="207"/>
        <v>25.300626033897828</v>
      </c>
      <c r="Y479" s="314" t="str">
        <f t="shared" ca="1" si="225"/>
        <v/>
      </c>
      <c r="Z479" s="315" t="str">
        <f t="shared" ca="1" si="226"/>
        <v/>
      </c>
      <c r="AA479" s="316" t="str">
        <f t="shared" ca="1" si="227"/>
        <v/>
      </c>
      <c r="AC479" s="310" t="e">
        <f t="shared" ca="1" si="228"/>
        <v>#N/A</v>
      </c>
      <c r="AD479" s="323" t="e">
        <f t="shared" ca="1" si="229"/>
        <v>#N/A</v>
      </c>
      <c r="AE479" s="324" t="e">
        <f t="shared" ca="1" si="208"/>
        <v>#N/A</v>
      </c>
      <c r="AG479" s="306">
        <f t="shared" ca="1" si="230"/>
        <v>1.3044779787230052</v>
      </c>
      <c r="AH479" s="304">
        <f t="shared" ca="1" si="231"/>
        <v>-8.4618218356372275</v>
      </c>
    </row>
    <row r="480" spans="1:34" x14ac:dyDescent="0.2">
      <c r="A480" s="347">
        <f t="shared" ca="1" si="209"/>
        <v>0.1</v>
      </c>
      <c r="B480" s="304">
        <f t="shared" ca="1" si="210"/>
        <v>34.20000000000018</v>
      </c>
      <c r="D480" s="306">
        <f t="shared" ca="1" si="211"/>
        <v>-0.79300140935953678</v>
      </c>
      <c r="E480" s="307">
        <f t="shared" ca="1" si="212"/>
        <v>-1.3549688036592151</v>
      </c>
      <c r="F480" s="304">
        <f t="shared" ca="1" si="213"/>
        <v>1.5699655073076912</v>
      </c>
      <c r="G480" s="306">
        <f t="shared" ca="1" si="214"/>
        <v>9.4398389543485912</v>
      </c>
      <c r="H480" s="307">
        <f t="shared" ca="1" si="215"/>
        <v>-101.6291601488096</v>
      </c>
      <c r="I480" s="304">
        <f t="shared" ca="1" si="216"/>
        <v>102.06662898340684</v>
      </c>
      <c r="J480" s="306">
        <f t="shared" ca="1" si="217"/>
        <v>816.20380248647871</v>
      </c>
      <c r="K480" s="307">
        <f t="shared" ca="1" si="218"/>
        <v>288.21785927292183</v>
      </c>
      <c r="L480" s="304">
        <f t="shared" ca="1" si="203"/>
        <v>865.59700877328169</v>
      </c>
      <c r="M480" s="306">
        <f t="shared" ca="1" si="219"/>
        <v>-1.4781769374432721</v>
      </c>
      <c r="N480" s="304">
        <f t="shared" ca="1" si="220"/>
        <v>-84.693299889073003</v>
      </c>
      <c r="P480" s="310">
        <f t="shared" ca="1" si="221"/>
        <v>23</v>
      </c>
      <c r="Q480" s="304">
        <f t="shared" ca="1" si="222"/>
        <v>0</v>
      </c>
      <c r="R480" s="306">
        <f t="shared" ca="1" si="223"/>
        <v>0</v>
      </c>
      <c r="S480" s="307">
        <f t="shared" ca="1" si="224"/>
        <v>2.9792999999999985</v>
      </c>
      <c r="T480" s="304">
        <f t="shared" ca="1" si="204"/>
        <v>29.226932999999988</v>
      </c>
      <c r="U480" s="311">
        <f t="shared" ca="1" si="205"/>
        <v>0</v>
      </c>
      <c r="V480" s="306">
        <f t="shared" ca="1" si="206"/>
        <v>1.1901948850255515</v>
      </c>
      <c r="W480" s="304">
        <f t="shared" ca="1" si="207"/>
        <v>25.389753912166732</v>
      </c>
      <c r="Y480" s="314" t="str">
        <f t="shared" ca="1" si="225"/>
        <v/>
      </c>
      <c r="Z480" s="315" t="str">
        <f t="shared" ca="1" si="226"/>
        <v/>
      </c>
      <c r="AA480" s="316" t="str">
        <f t="shared" ca="1" si="227"/>
        <v/>
      </c>
      <c r="AC480" s="310" t="e">
        <f t="shared" ca="1" si="228"/>
        <v>#N/A</v>
      </c>
      <c r="AD480" s="323" t="e">
        <f t="shared" ca="1" si="229"/>
        <v>#N/A</v>
      </c>
      <c r="AE480" s="324" t="e">
        <f t="shared" ca="1" si="208"/>
        <v>#N/A</v>
      </c>
      <c r="AG480" s="306">
        <f t="shared" ca="1" si="230"/>
        <v>1.2749972472649205</v>
      </c>
      <c r="AH480" s="304">
        <f t="shared" ca="1" si="231"/>
        <v>-8.4921377618560872</v>
      </c>
    </row>
    <row r="481" spans="1:34" x14ac:dyDescent="0.2">
      <c r="A481" s="347">
        <f t="shared" ca="1" si="209"/>
        <v>0.1</v>
      </c>
      <c r="B481" s="304">
        <f t="shared" ca="1" si="210"/>
        <v>34.300000000000182</v>
      </c>
      <c r="D481" s="306">
        <f t="shared" ca="1" si="211"/>
        <v>-0.78817937994923593</v>
      </c>
      <c r="E481" s="307">
        <f t="shared" ca="1" si="212"/>
        <v>-1.3244729885513244</v>
      </c>
      <c r="F481" s="304">
        <f t="shared" ca="1" si="213"/>
        <v>1.5412512554347648</v>
      </c>
      <c r="G481" s="306">
        <f t="shared" ca="1" si="214"/>
        <v>9.3610210163536678</v>
      </c>
      <c r="H481" s="307">
        <f t="shared" ca="1" si="215"/>
        <v>-101.76160744766473</v>
      </c>
      <c r="I481" s="304">
        <f t="shared" ca="1" si="216"/>
        <v>102.19125923874913</v>
      </c>
      <c r="J481" s="306">
        <f t="shared" ca="1" si="217"/>
        <v>817.1438454850138</v>
      </c>
      <c r="K481" s="307">
        <f t="shared" ca="1" si="218"/>
        <v>278.04832089309809</v>
      </c>
      <c r="L481" s="304">
        <f t="shared" ca="1" si="203"/>
        <v>863.1540609679754</v>
      </c>
      <c r="M481" s="306">
        <f t="shared" ca="1" si="219"/>
        <v>-1.4790647803465253</v>
      </c>
      <c r="N481" s="304">
        <f t="shared" ca="1" si="220"/>
        <v>-84.744169540300049</v>
      </c>
      <c r="P481" s="310">
        <f t="shared" ca="1" si="221"/>
        <v>23</v>
      </c>
      <c r="Q481" s="304">
        <f t="shared" ca="1" si="222"/>
        <v>0</v>
      </c>
      <c r="R481" s="306">
        <f t="shared" ca="1" si="223"/>
        <v>0</v>
      </c>
      <c r="S481" s="307">
        <f t="shared" ca="1" si="224"/>
        <v>2.9792999999999985</v>
      </c>
      <c r="T481" s="304">
        <f t="shared" ca="1" si="204"/>
        <v>29.226932999999988</v>
      </c>
      <c r="U481" s="311">
        <f t="shared" ca="1" si="205"/>
        <v>0</v>
      </c>
      <c r="V481" s="306">
        <f t="shared" ca="1" si="206"/>
        <v>1.1914061168309671</v>
      </c>
      <c r="W481" s="304">
        <f t="shared" ca="1" si="207"/>
        <v>25.477698643335358</v>
      </c>
      <c r="Y481" s="314" t="str">
        <f t="shared" ca="1" si="225"/>
        <v/>
      </c>
      <c r="Z481" s="315" t="str">
        <f t="shared" ca="1" si="226"/>
        <v/>
      </c>
      <c r="AA481" s="316" t="str">
        <f t="shared" ca="1" si="227"/>
        <v/>
      </c>
      <c r="AC481" s="310" t="e">
        <f t="shared" ca="1" si="228"/>
        <v>#N/A</v>
      </c>
      <c r="AD481" s="323" t="e">
        <f t="shared" ca="1" si="229"/>
        <v>#N/A</v>
      </c>
      <c r="AE481" s="324" t="e">
        <f t="shared" ca="1" si="208"/>
        <v>#N/A</v>
      </c>
      <c r="AG481" s="306">
        <f t="shared" ca="1" si="230"/>
        <v>1.2458997844738189</v>
      </c>
      <c r="AH481" s="304">
        <f t="shared" ca="1" si="231"/>
        <v>-8.5220534730194153</v>
      </c>
    </row>
    <row r="482" spans="1:34" x14ac:dyDescent="0.2">
      <c r="A482" s="347">
        <f t="shared" ca="1" si="209"/>
        <v>0.1</v>
      </c>
      <c r="B482" s="304">
        <f t="shared" ca="1" si="210"/>
        <v>34.400000000000183</v>
      </c>
      <c r="D482" s="306">
        <f t="shared" ca="1" si="211"/>
        <v>-0.78334924521419003</v>
      </c>
      <c r="E482" s="307">
        <f t="shared" ca="1" si="212"/>
        <v>-1.2943820725699311</v>
      </c>
      <c r="F482" s="304">
        <f t="shared" ca="1" si="213"/>
        <v>1.5129643055168458</v>
      </c>
      <c r="G482" s="306">
        <f t="shared" ca="1" si="214"/>
        <v>9.2826860918322485</v>
      </c>
      <c r="H482" s="307">
        <f t="shared" ca="1" si="215"/>
        <v>-101.89104565492173</v>
      </c>
      <c r="I482" s="304">
        <f t="shared" ca="1" si="216"/>
        <v>102.31301699066859</v>
      </c>
      <c r="J482" s="306">
        <f t="shared" ca="1" si="217"/>
        <v>818.07603084042307</v>
      </c>
      <c r="K482" s="307">
        <f t="shared" ca="1" si="218"/>
        <v>267.86568823796875</v>
      </c>
      <c r="L482" s="304">
        <f t="shared" ca="1" si="203"/>
        <v>860.81381213989675</v>
      </c>
      <c r="M482" s="306">
        <f t="shared" ca="1" si="219"/>
        <v>-1.4799430899704924</v>
      </c>
      <c r="N482" s="304">
        <f t="shared" ca="1" si="220"/>
        <v>-84.794492974859082</v>
      </c>
      <c r="P482" s="310">
        <f t="shared" ca="1" si="221"/>
        <v>23</v>
      </c>
      <c r="Q482" s="304">
        <f t="shared" ca="1" si="222"/>
        <v>0</v>
      </c>
      <c r="R482" s="306">
        <f t="shared" ca="1" si="223"/>
        <v>0</v>
      </c>
      <c r="S482" s="307">
        <f t="shared" ca="1" si="224"/>
        <v>2.9792999999999985</v>
      </c>
      <c r="T482" s="304">
        <f t="shared" ca="1" si="204"/>
        <v>29.226932999999988</v>
      </c>
      <c r="U482" s="311">
        <f t="shared" ca="1" si="205"/>
        <v>0</v>
      </c>
      <c r="V482" s="306">
        <f t="shared" ca="1" si="206"/>
        <v>1.1926201260518579</v>
      </c>
      <c r="W482" s="304">
        <f t="shared" ca="1" si="207"/>
        <v>25.564469561485932</v>
      </c>
      <c r="Y482" s="314" t="str">
        <f t="shared" ca="1" si="225"/>
        <v/>
      </c>
      <c r="Z482" s="315" t="str">
        <f t="shared" ca="1" si="226"/>
        <v/>
      </c>
      <c r="AA482" s="316" t="str">
        <f t="shared" ca="1" si="227"/>
        <v/>
      </c>
      <c r="AC482" s="310" t="e">
        <f t="shared" ca="1" si="228"/>
        <v>#N/A</v>
      </c>
      <c r="AD482" s="323" t="e">
        <f t="shared" ca="1" si="229"/>
        <v>#N/A</v>
      </c>
      <c r="AE482" s="324" t="e">
        <f t="shared" ca="1" si="208"/>
        <v>#N/A</v>
      </c>
      <c r="AG482" s="306">
        <f t="shared" ca="1" si="230"/>
        <v>1.2171828836941909</v>
      </c>
      <c r="AH482" s="304">
        <f t="shared" ca="1" si="231"/>
        <v>-8.551572061670651</v>
      </c>
    </row>
    <row r="483" spans="1:34" x14ac:dyDescent="0.2">
      <c r="A483" s="347">
        <f t="shared" ca="1" si="209"/>
        <v>0.1</v>
      </c>
      <c r="B483" s="304">
        <f t="shared" ca="1" si="210"/>
        <v>34.500000000000185</v>
      </c>
      <c r="D483" s="306">
        <f t="shared" ca="1" si="211"/>
        <v>-0.77851202021140253</v>
      </c>
      <c r="E483" s="307">
        <f t="shared" ca="1" si="212"/>
        <v>-1.2646928540370066</v>
      </c>
      <c r="F483" s="304">
        <f t="shared" ca="1" si="213"/>
        <v>1.4851023468656659</v>
      </c>
      <c r="G483" s="306">
        <f t="shared" ca="1" si="214"/>
        <v>9.2048348898111083</v>
      </c>
      <c r="H483" s="307">
        <f t="shared" ca="1" si="215"/>
        <v>-102.01751494032543</v>
      </c>
      <c r="I483" s="304">
        <f t="shared" ca="1" si="216"/>
        <v>102.43194003799891</v>
      </c>
      <c r="J483" s="306">
        <f t="shared" ca="1" si="217"/>
        <v>819.00040688950526</v>
      </c>
      <c r="K483" s="307">
        <f t="shared" ca="1" si="218"/>
        <v>257.6702602082064</v>
      </c>
      <c r="L483" s="304">
        <f t="shared" ca="1" si="203"/>
        <v>858.57767818697687</v>
      </c>
      <c r="M483" s="306">
        <f t="shared" ca="1" si="219"/>
        <v>-1.4808120032547079</v>
      </c>
      <c r="N483" s="304">
        <f t="shared" ca="1" si="220"/>
        <v>-84.844278038807488</v>
      </c>
      <c r="P483" s="310">
        <f t="shared" ca="1" si="221"/>
        <v>23</v>
      </c>
      <c r="Q483" s="304">
        <f t="shared" ca="1" si="222"/>
        <v>0</v>
      </c>
      <c r="R483" s="306">
        <f t="shared" ca="1" si="223"/>
        <v>0</v>
      </c>
      <c r="S483" s="307">
        <f t="shared" ca="1" si="224"/>
        <v>2.9792999999999985</v>
      </c>
      <c r="T483" s="304">
        <f t="shared" ca="1" si="204"/>
        <v>29.226932999999988</v>
      </c>
      <c r="U483" s="311">
        <f t="shared" ca="1" si="205"/>
        <v>0</v>
      </c>
      <c r="V483" s="306">
        <f t="shared" ca="1" si="206"/>
        <v>1.1938368835408411</v>
      </c>
      <c r="W483" s="304">
        <f t="shared" ca="1" si="207"/>
        <v>25.650076113550007</v>
      </c>
      <c r="Y483" s="314" t="str">
        <f t="shared" ca="1" si="225"/>
        <v/>
      </c>
      <c r="Z483" s="315" t="str">
        <f t="shared" ca="1" si="226"/>
        <v/>
      </c>
      <c r="AA483" s="316" t="str">
        <f t="shared" ca="1" si="227"/>
        <v/>
      </c>
      <c r="AC483" s="310" t="e">
        <f t="shared" ca="1" si="228"/>
        <v>#N/A</v>
      </c>
      <c r="AD483" s="323" t="e">
        <f t="shared" ca="1" si="229"/>
        <v>#N/A</v>
      </c>
      <c r="AE483" s="324" t="e">
        <f t="shared" ca="1" si="208"/>
        <v>#N/A</v>
      </c>
      <c r="AG483" s="306">
        <f t="shared" ca="1" si="230"/>
        <v>1.1888437874810318</v>
      </c>
      <c r="AH483" s="304">
        <f t="shared" ca="1" si="231"/>
        <v>-8.580696660788087</v>
      </c>
    </row>
    <row r="484" spans="1:34" x14ac:dyDescent="0.2">
      <c r="A484" s="347">
        <f t="shared" ca="1" si="209"/>
        <v>0.1</v>
      </c>
      <c r="B484" s="304">
        <f t="shared" ca="1" si="210"/>
        <v>34.600000000000186</v>
      </c>
      <c r="D484" s="306">
        <f t="shared" ca="1" si="211"/>
        <v>-0.77366869823433093</v>
      </c>
      <c r="E484" s="307">
        <f t="shared" ca="1" si="212"/>
        <v>-1.2354020929426373</v>
      </c>
      <c r="F484" s="304">
        <f t="shared" ca="1" si="213"/>
        <v>1.4576630563592716</v>
      </c>
      <c r="G484" s="306">
        <f t="shared" ca="1" si="214"/>
        <v>9.1274680199876759</v>
      </c>
      <c r="H484" s="307">
        <f t="shared" ca="1" si="215"/>
        <v>-102.14105514961969</v>
      </c>
      <c r="I484" s="304">
        <f t="shared" ca="1" si="216"/>
        <v>102.54806589855096</v>
      </c>
      <c r="J484" s="306">
        <f t="shared" ca="1" si="217"/>
        <v>819.91702203499517</v>
      </c>
      <c r="K484" s="307">
        <f t="shared" ca="1" si="218"/>
        <v>247.46233170370914</v>
      </c>
      <c r="L484" s="304">
        <f t="shared" ca="1" si="203"/>
        <v>856.44703784587364</v>
      </c>
      <c r="M484" s="306">
        <f t="shared" ca="1" si="219"/>
        <v>-1.4816716542922195</v>
      </c>
      <c r="N484" s="304">
        <f t="shared" ca="1" si="220"/>
        <v>-84.89353241511094</v>
      </c>
      <c r="P484" s="310">
        <f t="shared" ca="1" si="221"/>
        <v>23</v>
      </c>
      <c r="Q484" s="304">
        <f t="shared" ca="1" si="222"/>
        <v>0</v>
      </c>
      <c r="R484" s="306">
        <f t="shared" ca="1" si="223"/>
        <v>0</v>
      </c>
      <c r="S484" s="307">
        <f t="shared" ca="1" si="224"/>
        <v>2.9792999999999985</v>
      </c>
      <c r="T484" s="304">
        <f t="shared" ca="1" si="204"/>
        <v>29.226932999999988</v>
      </c>
      <c r="U484" s="311">
        <f t="shared" ca="1" si="205"/>
        <v>0</v>
      </c>
      <c r="V484" s="306">
        <f t="shared" ca="1" si="206"/>
        <v>1.1950563605087063</v>
      </c>
      <c r="W484" s="304">
        <f t="shared" ca="1" si="207"/>
        <v>25.734527851880042</v>
      </c>
      <c r="Y484" s="314" t="str">
        <f t="shared" ca="1" si="225"/>
        <v/>
      </c>
      <c r="Z484" s="315" t="str">
        <f t="shared" ca="1" si="226"/>
        <v/>
      </c>
      <c r="AA484" s="316" t="str">
        <f t="shared" ca="1" si="227"/>
        <v/>
      </c>
      <c r="AC484" s="310" t="e">
        <f t="shared" ca="1" si="228"/>
        <v>#N/A</v>
      </c>
      <c r="AD484" s="323" t="e">
        <f t="shared" ca="1" si="229"/>
        <v>#N/A</v>
      </c>
      <c r="AE484" s="324" t="e">
        <f t="shared" ca="1" si="208"/>
        <v>#N/A</v>
      </c>
      <c r="AG484" s="306">
        <f t="shared" ca="1" si="230"/>
        <v>1.1608796904882457</v>
      </c>
      <c r="AH484" s="304">
        <f t="shared" ca="1" si="231"/>
        <v>-8.6094304412278113</v>
      </c>
    </row>
    <row r="485" spans="1:34" x14ac:dyDescent="0.2">
      <c r="A485" s="347">
        <f t="shared" ca="1" si="209"/>
        <v>0.1</v>
      </c>
      <c r="B485" s="304">
        <f t="shared" ca="1" si="210"/>
        <v>34.700000000000188</v>
      </c>
      <c r="D485" s="306">
        <f t="shared" ca="1" si="211"/>
        <v>-0.76882025100837992</v>
      </c>
      <c r="E485" s="307">
        <f t="shared" ca="1" si="212"/>
        <v>-1.2065065134791446</v>
      </c>
      <c r="F485" s="304">
        <f t="shared" ca="1" si="213"/>
        <v>1.430644101594869</v>
      </c>
      <c r="G485" s="306">
        <f t="shared" ca="1" si="214"/>
        <v>9.0505859948868377</v>
      </c>
      <c r="H485" s="307">
        <f t="shared" ca="1" si="215"/>
        <v>-102.2617058009676</v>
      </c>
      <c r="I485" s="304">
        <f t="shared" ca="1" si="216"/>
        <v>102.66143180461927</v>
      </c>
      <c r="J485" s="306">
        <f t="shared" ca="1" si="217"/>
        <v>820.82592473573891</v>
      </c>
      <c r="K485" s="307">
        <f t="shared" ca="1" si="218"/>
        <v>237.24219365617978</v>
      </c>
      <c r="L485" s="304">
        <f t="shared" ca="1" si="203"/>
        <v>854.42323070541408</v>
      </c>
      <c r="M485" s="306">
        <f t="shared" ca="1" si="219"/>
        <v>-1.4825221744065873</v>
      </c>
      <c r="N485" s="304">
        <f t="shared" ca="1" si="220"/>
        <v>-84.942263628055201</v>
      </c>
      <c r="P485" s="310">
        <f t="shared" ca="1" si="221"/>
        <v>23</v>
      </c>
      <c r="Q485" s="304">
        <f t="shared" ca="1" si="222"/>
        <v>0</v>
      </c>
      <c r="R485" s="306">
        <f t="shared" ca="1" si="223"/>
        <v>0</v>
      </c>
      <c r="S485" s="307">
        <f t="shared" ca="1" si="224"/>
        <v>2.9792999999999985</v>
      </c>
      <c r="T485" s="304">
        <f t="shared" ca="1" si="204"/>
        <v>29.226932999999988</v>
      </c>
      <c r="U485" s="311">
        <f t="shared" ca="1" si="205"/>
        <v>0</v>
      </c>
      <c r="V485" s="306">
        <f t="shared" ca="1" si="206"/>
        <v>1.1962785285220412</v>
      </c>
      <c r="W485" s="304">
        <f t="shared" ca="1" si="207"/>
        <v>25.817834427009142</v>
      </c>
      <c r="Y485" s="314" t="str">
        <f t="shared" ca="1" si="225"/>
        <v/>
      </c>
      <c r="Z485" s="315" t="str">
        <f t="shared" ca="1" si="226"/>
        <v/>
      </c>
      <c r="AA485" s="316" t="str">
        <f t="shared" ca="1" si="227"/>
        <v/>
      </c>
      <c r="AC485" s="310" t="e">
        <f t="shared" ca="1" si="228"/>
        <v>#N/A</v>
      </c>
      <c r="AD485" s="323" t="e">
        <f t="shared" ca="1" si="229"/>
        <v>#N/A</v>
      </c>
      <c r="AE485" s="324" t="e">
        <f t="shared" ca="1" si="208"/>
        <v>#N/A</v>
      </c>
      <c r="AG485" s="306">
        <f t="shared" ca="1" si="230"/>
        <v>1.1332877422809879</v>
      </c>
      <c r="AH485" s="304">
        <f t="shared" ca="1" si="231"/>
        <v>-8.6377766092303752</v>
      </c>
    </row>
    <row r="486" spans="1:34" x14ac:dyDescent="0.2">
      <c r="A486" s="347">
        <f t="shared" ca="1" si="209"/>
        <v>0.1</v>
      </c>
      <c r="B486" s="304">
        <f t="shared" ca="1" si="210"/>
        <v>34.800000000000189</v>
      </c>
      <c r="D486" s="306">
        <f t="shared" ca="1" si="211"/>
        <v>-0.76396762889275427</v>
      </c>
      <c r="E486" s="307">
        <f t="shared" ca="1" si="212"/>
        <v>-1.1780028065110386</v>
      </c>
      <c r="F486" s="304">
        <f t="shared" ca="1" si="213"/>
        <v>1.4040431439752485</v>
      </c>
      <c r="G486" s="306">
        <f t="shared" ca="1" si="214"/>
        <v>8.9741892319975616</v>
      </c>
      <c r="H486" s="307">
        <f t="shared" ca="1" si="215"/>
        <v>-102.37950608161871</v>
      </c>
      <c r="I486" s="304">
        <f t="shared" ca="1" si="216"/>
        <v>102.77207469876194</v>
      </c>
      <c r="J486" s="306">
        <f t="shared" ca="1" si="217"/>
        <v>821.7271634970831</v>
      </c>
      <c r="K486" s="307">
        <f t="shared" ca="1" si="218"/>
        <v>227.01013306205047</v>
      </c>
      <c r="L486" s="304">
        <f t="shared" ca="1" si="203"/>
        <v>852.50755524031092</v>
      </c>
      <c r="M486" s="306">
        <f t="shared" ca="1" si="219"/>
        <v>-1.4833636922264348</v>
      </c>
      <c r="N486" s="304">
        <f t="shared" ca="1" si="220"/>
        <v>-84.99047904751751</v>
      </c>
      <c r="P486" s="310">
        <f t="shared" ca="1" si="221"/>
        <v>23</v>
      </c>
      <c r="Q486" s="304">
        <f t="shared" ca="1" si="222"/>
        <v>0</v>
      </c>
      <c r="R486" s="306">
        <f t="shared" ca="1" si="223"/>
        <v>0</v>
      </c>
      <c r="S486" s="307">
        <f t="shared" ca="1" si="224"/>
        <v>2.9792999999999985</v>
      </c>
      <c r="T486" s="304">
        <f t="shared" ca="1" si="204"/>
        <v>29.226932999999988</v>
      </c>
      <c r="U486" s="311">
        <f t="shared" ca="1" si="205"/>
        <v>0</v>
      </c>
      <c r="V486" s="306">
        <f t="shared" ca="1" si="206"/>
        <v>1.1975033595008229</v>
      </c>
      <c r="W486" s="304">
        <f t="shared" ca="1" si="207"/>
        <v>25.900005580597789</v>
      </c>
      <c r="Y486" s="314" t="str">
        <f t="shared" ca="1" si="225"/>
        <v/>
      </c>
      <c r="Z486" s="315" t="str">
        <f t="shared" ca="1" si="226"/>
        <v/>
      </c>
      <c r="AA486" s="316" t="str">
        <f t="shared" ca="1" si="227"/>
        <v/>
      </c>
      <c r="AC486" s="310" t="e">
        <f t="shared" ca="1" si="228"/>
        <v>#N/A</v>
      </c>
      <c r="AD486" s="323" t="e">
        <f t="shared" ca="1" si="229"/>
        <v>#N/A</v>
      </c>
      <c r="AE486" s="324" t="e">
        <f t="shared" ca="1" si="208"/>
        <v>#N/A</v>
      </c>
      <c r="AG486" s="306">
        <f t="shared" ca="1" si="230"/>
        <v>1.1060650500730045</v>
      </c>
      <c r="AH486" s="304">
        <f t="shared" ca="1" si="231"/>
        <v>-8.665738403990586</v>
      </c>
    </row>
    <row r="487" spans="1:34" x14ac:dyDescent="0.2">
      <c r="A487" s="347">
        <f t="shared" ca="1" si="209"/>
        <v>0.1</v>
      </c>
      <c r="B487" s="304">
        <f t="shared" ca="1" si="210"/>
        <v>34.90000000000019</v>
      </c>
      <c r="D487" s="306">
        <f t="shared" ca="1" si="211"/>
        <v>-0.7591117610882584</v>
      </c>
      <c r="E487" s="307">
        <f t="shared" ca="1" si="212"/>
        <v>-1.1498876319811533</v>
      </c>
      <c r="F487" s="304">
        <f t="shared" ca="1" si="213"/>
        <v>1.3778578417259675</v>
      </c>
      <c r="G487" s="306">
        <f t="shared" ca="1" si="214"/>
        <v>8.8982780558887349</v>
      </c>
      <c r="H487" s="307">
        <f t="shared" ca="1" si="215"/>
        <v>-102.49449484481683</v>
      </c>
      <c r="I487" s="304">
        <f t="shared" ca="1" si="216"/>
        <v>102.88003122984604</v>
      </c>
      <c r="J487" s="306">
        <f t="shared" ca="1" si="217"/>
        <v>822.62078686147743</v>
      </c>
      <c r="K487" s="307">
        <f t="shared" ca="1" si="218"/>
        <v>216.76643301572869</v>
      </c>
      <c r="L487" s="304">
        <f t="shared" ca="1" si="203"/>
        <v>850.70126687278344</v>
      </c>
      <c r="M487" s="306">
        <f t="shared" ca="1" si="219"/>
        <v>-1.4841963337576394</v>
      </c>
      <c r="N487" s="304">
        <f t="shared" ca="1" si="220"/>
        <v>-85.038185893102849</v>
      </c>
      <c r="P487" s="310">
        <f t="shared" ca="1" si="221"/>
        <v>23</v>
      </c>
      <c r="Q487" s="304">
        <f t="shared" ca="1" si="222"/>
        <v>0</v>
      </c>
      <c r="R487" s="306">
        <f t="shared" ca="1" si="223"/>
        <v>0</v>
      </c>
      <c r="S487" s="307">
        <f t="shared" ca="1" si="224"/>
        <v>2.9792999999999985</v>
      </c>
      <c r="T487" s="304">
        <f t="shared" ca="1" si="204"/>
        <v>29.226932999999988</v>
      </c>
      <c r="U487" s="311">
        <f t="shared" ca="1" si="205"/>
        <v>0</v>
      </c>
      <c r="V487" s="306">
        <f t="shared" ca="1" si="206"/>
        <v>1.1987308257159643</v>
      </c>
      <c r="W487" s="304">
        <f t="shared" ca="1" si="207"/>
        <v>25.981051138565284</v>
      </c>
      <c r="Y487" s="314" t="str">
        <f t="shared" ca="1" si="225"/>
        <v/>
      </c>
      <c r="Z487" s="315" t="str">
        <f t="shared" ca="1" si="226"/>
        <v/>
      </c>
      <c r="AA487" s="316" t="str">
        <f t="shared" ca="1" si="227"/>
        <v/>
      </c>
      <c r="AC487" s="310" t="e">
        <f t="shared" ca="1" si="228"/>
        <v>#N/A</v>
      </c>
      <c r="AD487" s="323" t="e">
        <f t="shared" ca="1" si="229"/>
        <v>#N/A</v>
      </c>
      <c r="AE487" s="324" t="e">
        <f t="shared" ca="1" si="208"/>
        <v>#N/A</v>
      </c>
      <c r="AG487" s="306">
        <f t="shared" ca="1" si="230"/>
        <v>1.0792086813898667</v>
      </c>
      <c r="AH487" s="304">
        <f t="shared" ca="1" si="231"/>
        <v>-8.6933190952901018</v>
      </c>
    </row>
    <row r="488" spans="1:34" x14ac:dyDescent="0.2">
      <c r="A488" s="347">
        <f t="shared" ca="1" si="209"/>
        <v>0.1</v>
      </c>
      <c r="B488" s="304">
        <f t="shared" ca="1" si="210"/>
        <v>35.000000000000192</v>
      </c>
      <c r="D488" s="306">
        <f t="shared" ca="1" si="211"/>
        <v>-0.75425355585063736</v>
      </c>
      <c r="E488" s="307">
        <f t="shared" ca="1" si="212"/>
        <v>-1.1221576212537467</v>
      </c>
      <c r="F488" s="304">
        <f t="shared" ca="1" si="213"/>
        <v>1.3520858528404172</v>
      </c>
      <c r="G488" s="306">
        <f t="shared" ca="1" si="214"/>
        <v>8.8228527003036703</v>
      </c>
      <c r="H488" s="307">
        <f t="shared" ca="1" si="215"/>
        <v>-102.6067106069422</v>
      </c>
      <c r="I488" s="304">
        <f t="shared" ca="1" si="216"/>
        <v>102.98533774935167</v>
      </c>
      <c r="J488" s="306">
        <f t="shared" ca="1" si="217"/>
        <v>823.50684339928705</v>
      </c>
      <c r="K488" s="307">
        <f t="shared" ca="1" si="218"/>
        <v>206.51137274314075</v>
      </c>
      <c r="L488" s="304">
        <f t="shared" ca="1" si="203"/>
        <v>849.00557606985967</v>
      </c>
      <c r="M488" s="306">
        <f t="shared" ca="1" si="219"/>
        <v>-1.4850202224532458</v>
      </c>
      <c r="N488" s="304">
        <f t="shared" ca="1" si="220"/>
        <v>-85.08539123814964</v>
      </c>
      <c r="P488" s="310">
        <f t="shared" ca="1" si="221"/>
        <v>23</v>
      </c>
      <c r="Q488" s="304">
        <f t="shared" ca="1" si="222"/>
        <v>0</v>
      </c>
      <c r="R488" s="306">
        <f t="shared" ca="1" si="223"/>
        <v>0</v>
      </c>
      <c r="S488" s="307">
        <f t="shared" ca="1" si="224"/>
        <v>2.9792999999999985</v>
      </c>
      <c r="T488" s="304">
        <f t="shared" ca="1" si="204"/>
        <v>29.226932999999988</v>
      </c>
      <c r="U488" s="311">
        <f t="shared" ca="1" si="205"/>
        <v>0</v>
      </c>
      <c r="V488" s="306">
        <f t="shared" ca="1" si="206"/>
        <v>1.199960899786829</v>
      </c>
      <c r="W488" s="304">
        <f t="shared" ca="1" si="207"/>
        <v>26.060981004404731</v>
      </c>
      <c r="Y488" s="314" t="str">
        <f t="shared" ca="1" si="225"/>
        <v/>
      </c>
      <c r="Z488" s="315" t="str">
        <f t="shared" ca="1" si="226"/>
        <v/>
      </c>
      <c r="AA488" s="316" t="str">
        <f t="shared" ca="1" si="227"/>
        <v/>
      </c>
      <c r="AC488" s="310">
        <f t="shared" ca="1" si="228"/>
        <v>35.000000000000192</v>
      </c>
      <c r="AD488" s="323">
        <f t="shared" ca="1" si="229"/>
        <v>823.50684339928705</v>
      </c>
      <c r="AE488" s="324" t="e">
        <f t="shared" ca="1" si="208"/>
        <v>#N/A</v>
      </c>
      <c r="AG488" s="306">
        <f t="shared" ca="1" si="230"/>
        <v>1.0527156666593527</v>
      </c>
      <c r="AH488" s="304">
        <f t="shared" ca="1" si="231"/>
        <v>-8.7205219811919914</v>
      </c>
    </row>
    <row r="489" spans="1:34" x14ac:dyDescent="0.2">
      <c r="A489" s="347">
        <f t="shared" ca="1" si="209"/>
        <v>0.1</v>
      </c>
      <c r="B489" s="304">
        <f t="shared" ca="1" si="210"/>
        <v>35.100000000000193</v>
      </c>
      <c r="D489" s="306">
        <f t="shared" ca="1" si="211"/>
        <v>-0.7493939007090995</v>
      </c>
      <c r="E489" s="307">
        <f t="shared" ca="1" si="212"/>
        <v>-1.0948093793949969</v>
      </c>
      <c r="F489" s="304">
        <f t="shared" ca="1" si="213"/>
        <v>1.3267248379491725</v>
      </c>
      <c r="G489" s="306">
        <f t="shared" ca="1" si="214"/>
        <v>8.7479133102327609</v>
      </c>
      <c r="H489" s="307">
        <f t="shared" ca="1" si="215"/>
        <v>-102.7161915448817</v>
      </c>
      <c r="I489" s="304">
        <f t="shared" ca="1" si="216"/>
        <v>103.08803030792747</v>
      </c>
      <c r="J489" s="306">
        <f t="shared" ca="1" si="217"/>
        <v>824.38538169981382</v>
      </c>
      <c r="K489" s="307">
        <f t="shared" ca="1" si="218"/>
        <v>196.24522763554955</v>
      </c>
      <c r="L489" s="304">
        <f t="shared" ca="1" si="203"/>
        <v>847.42164648424955</v>
      </c>
      <c r="M489" s="306">
        <f t="shared" ca="1" si="219"/>
        <v>-1.485835479281189</v>
      </c>
      <c r="N489" s="304">
        <f t="shared" ca="1" si="220"/>
        <v>-85.132102013609995</v>
      </c>
      <c r="P489" s="310">
        <f t="shared" ca="1" si="221"/>
        <v>23</v>
      </c>
      <c r="Q489" s="304">
        <f t="shared" ca="1" si="222"/>
        <v>0</v>
      </c>
      <c r="R489" s="306">
        <f t="shared" ca="1" si="223"/>
        <v>0</v>
      </c>
      <c r="S489" s="307">
        <f t="shared" ca="1" si="224"/>
        <v>2.9792999999999985</v>
      </c>
      <c r="T489" s="304">
        <f t="shared" ca="1" si="204"/>
        <v>29.226932999999988</v>
      </c>
      <c r="U489" s="311">
        <f t="shared" ca="1" si="205"/>
        <v>0</v>
      </c>
      <c r="V489" s="306">
        <f t="shared" ca="1" si="206"/>
        <v>1.2011935546787085</v>
      </c>
      <c r="W489" s="304">
        <f t="shared" ca="1" si="207"/>
        <v>26.139805152679312</v>
      </c>
      <c r="Y489" s="314" t="str">
        <f t="shared" ca="1" si="225"/>
        <v/>
      </c>
      <c r="Z489" s="315" t="str">
        <f t="shared" ca="1" si="226"/>
        <v/>
      </c>
      <c r="AA489" s="316" t="str">
        <f t="shared" ca="1" si="227"/>
        <v/>
      </c>
      <c r="AC489" s="310" t="e">
        <f t="shared" ca="1" si="228"/>
        <v>#N/A</v>
      </c>
      <c r="AD489" s="323" t="e">
        <f t="shared" ca="1" si="229"/>
        <v>#N/A</v>
      </c>
      <c r="AE489" s="324" t="e">
        <f t="shared" ca="1" si="208"/>
        <v>#N/A</v>
      </c>
      <c r="AG489" s="306">
        <f t="shared" ca="1" si="230"/>
        <v>1.0265830017297937</v>
      </c>
      <c r="AH489" s="304">
        <f t="shared" ca="1" si="231"/>
        <v>-8.7473503857969135</v>
      </c>
    </row>
    <row r="490" spans="1:34" x14ac:dyDescent="0.2">
      <c r="A490" s="347">
        <f t="shared" ca="1" si="209"/>
        <v>0.1</v>
      </c>
      <c r="B490" s="304">
        <f t="shared" ca="1" si="210"/>
        <v>35.200000000000195</v>
      </c>
      <c r="D490" s="306">
        <f t="shared" ca="1" si="211"/>
        <v>-0.7445336626896083</v>
      </c>
      <c r="E490" s="307">
        <f t="shared" ca="1" si="212"/>
        <v>-1.0678394873916073</v>
      </c>
      <c r="F490" s="304">
        <f t="shared" ca="1" si="213"/>
        <v>1.3017724631097303</v>
      </c>
      <c r="G490" s="306">
        <f t="shared" ca="1" si="214"/>
        <v>8.6734599439638007</v>
      </c>
      <c r="H490" s="307">
        <f t="shared" ca="1" si="215"/>
        <v>-102.82297549362086</v>
      </c>
      <c r="I490" s="304">
        <f t="shared" ca="1" si="216"/>
        <v>103.18814465219006</v>
      </c>
      <c r="J490" s="306">
        <f t="shared" ca="1" si="217"/>
        <v>825.25645036252365</v>
      </c>
      <c r="K490" s="307">
        <f t="shared" ca="1" si="218"/>
        <v>185.96826928362444</v>
      </c>
      <c r="L490" s="304">
        <f t="shared" ca="1" si="203"/>
        <v>845.95059314672699</v>
      </c>
      <c r="M490" s="306">
        <f t="shared" ca="1" si="219"/>
        <v>-1.4866422227898966</v>
      </c>
      <c r="N490" s="304">
        <f t="shared" ca="1" si="220"/>
        <v>-85.178325011808525</v>
      </c>
      <c r="P490" s="310">
        <f t="shared" ca="1" si="221"/>
        <v>23</v>
      </c>
      <c r="Q490" s="304">
        <f t="shared" ca="1" si="222"/>
        <v>0</v>
      </c>
      <c r="R490" s="306">
        <f t="shared" ca="1" si="223"/>
        <v>0</v>
      </c>
      <c r="S490" s="307">
        <f t="shared" ca="1" si="224"/>
        <v>2.9792999999999985</v>
      </c>
      <c r="T490" s="304">
        <f t="shared" ca="1" si="204"/>
        <v>29.226932999999988</v>
      </c>
      <c r="U490" s="311">
        <f t="shared" ca="1" si="205"/>
        <v>0</v>
      </c>
      <c r="V490" s="306">
        <f t="shared" ca="1" si="206"/>
        <v>1.2024287637002686</v>
      </c>
      <c r="W490" s="304">
        <f t="shared" ca="1" si="207"/>
        <v>26.217533622697825</v>
      </c>
      <c r="Y490" s="314" t="str">
        <f t="shared" ca="1" si="225"/>
        <v/>
      </c>
      <c r="Z490" s="315" t="str">
        <f t="shared" ca="1" si="226"/>
        <v/>
      </c>
      <c r="AA490" s="316" t="str">
        <f t="shared" ca="1" si="227"/>
        <v/>
      </c>
      <c r="AC490" s="310" t="e">
        <f t="shared" ca="1" si="228"/>
        <v>#N/A</v>
      </c>
      <c r="AD490" s="323" t="e">
        <f t="shared" ca="1" si="229"/>
        <v>#N/A</v>
      </c>
      <c r="AE490" s="324" t="e">
        <f t="shared" ca="1" si="208"/>
        <v>#N/A</v>
      </c>
      <c r="AG490" s="306">
        <f t="shared" ca="1" si="230"/>
        <v>1.0008076503175953</v>
      </c>
      <c r="AH490" s="304">
        <f t="shared" ca="1" si="231"/>
        <v>-8.7738076570601571</v>
      </c>
    </row>
    <row r="491" spans="1:34" x14ac:dyDescent="0.2">
      <c r="A491" s="347">
        <f t="shared" ca="1" si="209"/>
        <v>0.1</v>
      </c>
      <c r="B491" s="304">
        <f t="shared" ca="1" si="210"/>
        <v>35.300000000000196</v>
      </c>
      <c r="D491" s="306">
        <f t="shared" ca="1" si="211"/>
        <v>-0.73967368854262849</v>
      </c>
      <c r="E491" s="307">
        <f t="shared" ca="1" si="212"/>
        <v>-1.0412445043082545</v>
      </c>
      <c r="F491" s="304">
        <f t="shared" ca="1" si="213"/>
        <v>1.2772264025122562</v>
      </c>
      <c r="G491" s="306">
        <f t="shared" ca="1" si="214"/>
        <v>8.5994925751095384</v>
      </c>
      <c r="H491" s="307">
        <f t="shared" ca="1" si="215"/>
        <v>-102.92709994405169</v>
      </c>
      <c r="I491" s="304">
        <f t="shared" ca="1" si="216"/>
        <v>103.28571622176113</v>
      </c>
      <c r="J491" s="306">
        <f t="shared" ca="1" si="217"/>
        <v>826.12009798847737</v>
      </c>
      <c r="K491" s="307">
        <f t="shared" ca="1" si="218"/>
        <v>175.68076551174082</v>
      </c>
      <c r="L491" s="304">
        <f t="shared" ca="1" si="203"/>
        <v>844.59348071796217</v>
      </c>
      <c r="M491" s="306">
        <f t="shared" ca="1" si="219"/>
        <v>-1.4874405691718562</v>
      </c>
      <c r="N491" s="304">
        <f t="shared" ca="1" si="220"/>
        <v>-85.224066890084345</v>
      </c>
      <c r="P491" s="310">
        <f t="shared" ca="1" si="221"/>
        <v>23</v>
      </c>
      <c r="Q491" s="304">
        <f t="shared" ca="1" si="222"/>
        <v>0</v>
      </c>
      <c r="R491" s="306">
        <f t="shared" ca="1" si="223"/>
        <v>0</v>
      </c>
      <c r="S491" s="307">
        <f t="shared" ca="1" si="224"/>
        <v>2.9792999999999985</v>
      </c>
      <c r="T491" s="304">
        <f t="shared" ca="1" si="204"/>
        <v>29.226932999999988</v>
      </c>
      <c r="U491" s="311">
        <f t="shared" ca="1" si="205"/>
        <v>0</v>
      </c>
      <c r="V491" s="306">
        <f t="shared" ca="1" si="206"/>
        <v>1.2036665005009635</v>
      </c>
      <c r="W491" s="304">
        <f t="shared" ca="1" si="207"/>
        <v>26.294176512367653</v>
      </c>
      <c r="Y491" s="314" t="str">
        <f t="shared" ca="1" si="225"/>
        <v/>
      </c>
      <c r="Z491" s="315" t="str">
        <f t="shared" ca="1" si="226"/>
        <v/>
      </c>
      <c r="AA491" s="316" t="str">
        <f t="shared" ca="1" si="227"/>
        <v/>
      </c>
      <c r="AC491" s="310" t="e">
        <f t="shared" ca="1" si="228"/>
        <v>#N/A</v>
      </c>
      <c r="AD491" s="323" t="e">
        <f t="shared" ca="1" si="229"/>
        <v>#N/A</v>
      </c>
      <c r="AE491" s="324" t="e">
        <f t="shared" ca="1" si="208"/>
        <v>#N/A</v>
      </c>
      <c r="AG491" s="306">
        <f t="shared" ca="1" si="230"/>
        <v>0.97538654638501043</v>
      </c>
      <c r="AH491" s="304">
        <f t="shared" ca="1" si="231"/>
        <v>-8.7998971646688275</v>
      </c>
    </row>
    <row r="492" spans="1:34" x14ac:dyDescent="0.2">
      <c r="A492" s="347">
        <f t="shared" ca="1" si="209"/>
        <v>0.1</v>
      </c>
      <c r="B492" s="304">
        <f t="shared" ca="1" si="210"/>
        <v>35.400000000000198</v>
      </c>
      <c r="D492" s="306">
        <f t="shared" ca="1" si="211"/>
        <v>-0.73481480497491924</v>
      </c>
      <c r="E492" s="307">
        <f t="shared" ca="1" si="212"/>
        <v>-1.0150209693844712</v>
      </c>
      <c r="F492" s="304">
        <f t="shared" ca="1" si="213"/>
        <v>1.2530843410962089</v>
      </c>
      <c r="G492" s="306">
        <f t="shared" ca="1" si="214"/>
        <v>8.5260110946120466</v>
      </c>
      <c r="H492" s="307">
        <f t="shared" ca="1" si="215"/>
        <v>-103.02860204099014</v>
      </c>
      <c r="I492" s="304">
        <f t="shared" ca="1" si="216"/>
        <v>103.3807801465348</v>
      </c>
      <c r="J492" s="306">
        <f t="shared" ca="1" si="217"/>
        <v>826.97637317196347</v>
      </c>
      <c r="K492" s="307">
        <f t="shared" ca="1" si="218"/>
        <v>165.38298041248873</v>
      </c>
      <c r="L492" s="304">
        <f t="shared" ca="1" si="203"/>
        <v>843.35132180768665</v>
      </c>
      <c r="M492" s="306">
        <f t="shared" ca="1" si="219"/>
        <v>-1.4882306323252106</v>
      </c>
      <c r="N492" s="304">
        <f t="shared" ca="1" si="220"/>
        <v>-85.269334174320349</v>
      </c>
      <c r="P492" s="310">
        <f t="shared" ca="1" si="221"/>
        <v>23</v>
      </c>
      <c r="Q492" s="304">
        <f t="shared" ca="1" si="222"/>
        <v>0</v>
      </c>
      <c r="R492" s="306">
        <f t="shared" ca="1" si="223"/>
        <v>0</v>
      </c>
      <c r="S492" s="307">
        <f t="shared" ca="1" si="224"/>
        <v>2.9792999999999985</v>
      </c>
      <c r="T492" s="304">
        <f t="shared" ca="1" si="204"/>
        <v>29.226932999999988</v>
      </c>
      <c r="U492" s="311">
        <f t="shared" ca="1" si="205"/>
        <v>0</v>
      </c>
      <c r="V492" s="306">
        <f t="shared" ca="1" si="206"/>
        <v>1.2049067390684238</v>
      </c>
      <c r="W492" s="304">
        <f t="shared" ca="1" si="207"/>
        <v>26.369743972222871</v>
      </c>
      <c r="Y492" s="314" t="str">
        <f t="shared" ca="1" si="225"/>
        <v/>
      </c>
      <c r="Z492" s="315" t="str">
        <f t="shared" ca="1" si="226"/>
        <v/>
      </c>
      <c r="AA492" s="316" t="str">
        <f t="shared" ca="1" si="227"/>
        <v/>
      </c>
      <c r="AC492" s="310" t="e">
        <f t="shared" ca="1" si="228"/>
        <v>#N/A</v>
      </c>
      <c r="AD492" s="323" t="e">
        <f t="shared" ca="1" si="229"/>
        <v>#N/A</v>
      </c>
      <c r="AE492" s="324" t="e">
        <f t="shared" ca="1" si="208"/>
        <v>#N/A</v>
      </c>
      <c r="AG492" s="306">
        <f t="shared" ca="1" si="230"/>
        <v>0.95031659644919309</v>
      </c>
      <c r="AH492" s="304">
        <f t="shared" ca="1" si="231"/>
        <v>-8.8256222979786081</v>
      </c>
    </row>
    <row r="493" spans="1:34" x14ac:dyDescent="0.2">
      <c r="A493" s="347">
        <f t="shared" ca="1" si="209"/>
        <v>0.1</v>
      </c>
      <c r="B493" s="304">
        <f t="shared" ca="1" si="210"/>
        <v>35.500000000000199</v>
      </c>
      <c r="D493" s="306">
        <f t="shared" ca="1" si="211"/>
        <v>-0.72995781888509603</v>
      </c>
      <c r="E493" s="307">
        <f t="shared" ca="1" si="212"/>
        <v>-0.98916540407177678</v>
      </c>
      <c r="F493" s="304">
        <f t="shared" ca="1" si="213"/>
        <v>1.2293439770723116</v>
      </c>
      <c r="G493" s="306">
        <f t="shared" ca="1" si="214"/>
        <v>8.4530153127235366</v>
      </c>
      <c r="H493" s="307">
        <f t="shared" ca="1" si="215"/>
        <v>-103.12751858139731</v>
      </c>
      <c r="I493" s="304">
        <f t="shared" ca="1" si="216"/>
        <v>103.47337124416883</v>
      </c>
      <c r="J493" s="306">
        <f t="shared" ca="1" si="217"/>
        <v>827.8253244923302</v>
      </c>
      <c r="K493" s="307">
        <f t="shared" ca="1" si="218"/>
        <v>155.07517438136935</v>
      </c>
      <c r="L493" s="304">
        <f t="shared" ca="1" si="203"/>
        <v>842.22507536895614</v>
      </c>
      <c r="M493" s="306">
        <f t="shared" ca="1" si="219"/>
        <v>-1.4890125239134548</v>
      </c>
      <c r="N493" s="304">
        <f t="shared" ca="1" si="220"/>
        <v>-85.314133262363526</v>
      </c>
      <c r="P493" s="310">
        <f t="shared" ca="1" si="221"/>
        <v>23</v>
      </c>
      <c r="Q493" s="304">
        <f t="shared" ca="1" si="222"/>
        <v>0</v>
      </c>
      <c r="R493" s="306">
        <f t="shared" ca="1" si="223"/>
        <v>0</v>
      </c>
      <c r="S493" s="307">
        <f t="shared" ca="1" si="224"/>
        <v>2.9792999999999985</v>
      </c>
      <c r="T493" s="304">
        <f t="shared" ca="1" si="204"/>
        <v>29.226932999999988</v>
      </c>
      <c r="U493" s="311">
        <f t="shared" ca="1" si="205"/>
        <v>0</v>
      </c>
      <c r="V493" s="306">
        <f t="shared" ca="1" si="206"/>
        <v>1.2061494537258148</v>
      </c>
      <c r="W493" s="304">
        <f t="shared" ca="1" si="207"/>
        <v>26.444246199625201</v>
      </c>
      <c r="Y493" s="314" t="str">
        <f t="shared" ca="1" si="225"/>
        <v/>
      </c>
      <c r="Z493" s="315" t="str">
        <f t="shared" ca="1" si="226"/>
        <v/>
      </c>
      <c r="AA493" s="316" t="str">
        <f t="shared" ca="1" si="227"/>
        <v/>
      </c>
      <c r="AC493" s="310" t="e">
        <f t="shared" ca="1" si="228"/>
        <v>#N/A</v>
      </c>
      <c r="AD493" s="323" t="e">
        <f t="shared" ca="1" si="229"/>
        <v>#N/A</v>
      </c>
      <c r="AE493" s="324" t="e">
        <f t="shared" ca="1" si="208"/>
        <v>#N/A</v>
      </c>
      <c r="AG493" s="306">
        <f t="shared" ca="1" si="230"/>
        <v>0.92559468182365734</v>
      </c>
      <c r="AH493" s="304">
        <f t="shared" ca="1" si="231"/>
        <v>-8.8509864640092921</v>
      </c>
    </row>
    <row r="494" spans="1:34" x14ac:dyDescent="0.2">
      <c r="A494" s="347">
        <f t="shared" ca="1" si="209"/>
        <v>0.1</v>
      </c>
      <c r="B494" s="304">
        <f t="shared" ca="1" si="210"/>
        <v>35.6000000000002</v>
      </c>
      <c r="D494" s="306">
        <f t="shared" ca="1" si="211"/>
        <v>-0.72510351760259217</v>
      </c>
      <c r="E494" s="307">
        <f t="shared" ca="1" si="212"/>
        <v>-0.96367431401179182</v>
      </c>
      <c r="F494" s="304">
        <f t="shared" ca="1" si="213"/>
        <v>1.2060030243435338</v>
      </c>
      <c r="G494" s="306">
        <f t="shared" ca="1" si="214"/>
        <v>8.3805049609632771</v>
      </c>
      <c r="H494" s="307">
        <f t="shared" ca="1" si="215"/>
        <v>-103.22388601279849</v>
      </c>
      <c r="I494" s="304">
        <f t="shared" ca="1" si="216"/>
        <v>103.56352401779279</v>
      </c>
      <c r="J494" s="306">
        <f t="shared" ca="1" si="217"/>
        <v>828.66700050601457</v>
      </c>
      <c r="K494" s="307">
        <f t="shared" ca="1" si="218"/>
        <v>144.75760415165956</v>
      </c>
      <c r="L494" s="304">
        <f t="shared" ca="1" si="203"/>
        <v>841.2156451751024</v>
      </c>
      <c r="M494" s="306">
        <f t="shared" ca="1" si="219"/>
        <v>-1.4897863534233027</v>
      </c>
      <c r="N494" s="304">
        <f t="shared" ca="1" si="220"/>
        <v>-85.358470427340492</v>
      </c>
      <c r="P494" s="310">
        <f t="shared" ca="1" si="221"/>
        <v>23</v>
      </c>
      <c r="Q494" s="304">
        <f t="shared" ca="1" si="222"/>
        <v>0</v>
      </c>
      <c r="R494" s="306">
        <f t="shared" ca="1" si="223"/>
        <v>0</v>
      </c>
      <c r="S494" s="307">
        <f t="shared" ca="1" si="224"/>
        <v>2.9792999999999985</v>
      </c>
      <c r="T494" s="304">
        <f t="shared" ca="1" si="204"/>
        <v>29.226932999999988</v>
      </c>
      <c r="U494" s="311">
        <f t="shared" ca="1" si="205"/>
        <v>0</v>
      </c>
      <c r="V494" s="306">
        <f t="shared" ca="1" si="206"/>
        <v>1.2073946191291738</v>
      </c>
      <c r="W494" s="304">
        <f t="shared" ca="1" si="207"/>
        <v>26.517693433135676</v>
      </c>
      <c r="Y494" s="314" t="str">
        <f t="shared" ca="1" si="225"/>
        <v/>
      </c>
      <c r="Z494" s="315" t="str">
        <f t="shared" ca="1" si="226"/>
        <v/>
      </c>
      <c r="AA494" s="316" t="str">
        <f t="shared" ca="1" si="227"/>
        <v/>
      </c>
      <c r="AC494" s="310" t="e">
        <f t="shared" ca="1" si="228"/>
        <v>#N/A</v>
      </c>
      <c r="AD494" s="323" t="e">
        <f t="shared" ca="1" si="229"/>
        <v>#N/A</v>
      </c>
      <c r="AE494" s="324" t="e">
        <f t="shared" ca="1" si="208"/>
        <v>#N/A</v>
      </c>
      <c r="AG494" s="306">
        <f t="shared" ca="1" si="230"/>
        <v>0.9012176607932556</v>
      </c>
      <c r="AH494" s="304">
        <f t="shared" ca="1" si="231"/>
        <v>-8.8759930854983438</v>
      </c>
    </row>
    <row r="495" spans="1:34" x14ac:dyDescent="0.2">
      <c r="A495" s="347">
        <f t="shared" ca="1" si="209"/>
        <v>0.1</v>
      </c>
      <c r="B495" s="304">
        <f t="shared" ca="1" si="210"/>
        <v>35.700000000000202</v>
      </c>
      <c r="D495" s="306">
        <f t="shared" ca="1" si="211"/>
        <v>-0.7202526691297082</v>
      </c>
      <c r="E495" s="307">
        <f t="shared" ca="1" si="212"/>
        <v>-0.93854419095610631</v>
      </c>
      <c r="F495" s="304">
        <f t="shared" ca="1" si="213"/>
        <v>1.1830592148180585</v>
      </c>
      <c r="G495" s="306">
        <f t="shared" ca="1" si="214"/>
        <v>8.3084796940503072</v>
      </c>
      <c r="H495" s="307">
        <f t="shared" ca="1" si="215"/>
        <v>-103.31774043189409</v>
      </c>
      <c r="I495" s="304">
        <f t="shared" ca="1" si="216"/>
        <v>103.65127265392688</v>
      </c>
      <c r="J495" s="306">
        <f t="shared" ca="1" si="217"/>
        <v>829.50144973876525</v>
      </c>
      <c r="K495" s="307">
        <f t="shared" ca="1" si="218"/>
        <v>134.43052282942494</v>
      </c>
      <c r="L495" s="304">
        <f t="shared" ca="1" si="203"/>
        <v>840.32387838672412</v>
      </c>
      <c r="M495" s="306">
        <f t="shared" ca="1" si="219"/>
        <v>-1.4905522282207815</v>
      </c>
      <c r="N495" s="304">
        <f t="shared" ca="1" si="220"/>
        <v>-85.402351820871459</v>
      </c>
      <c r="P495" s="310">
        <f t="shared" ca="1" si="221"/>
        <v>23</v>
      </c>
      <c r="Q495" s="304">
        <f t="shared" ca="1" si="222"/>
        <v>0</v>
      </c>
      <c r="R495" s="306">
        <f t="shared" ca="1" si="223"/>
        <v>0</v>
      </c>
      <c r="S495" s="307">
        <f t="shared" ca="1" si="224"/>
        <v>2.9792999999999985</v>
      </c>
      <c r="T495" s="304">
        <f t="shared" ca="1" si="204"/>
        <v>29.226932999999988</v>
      </c>
      <c r="U495" s="311">
        <f t="shared" ca="1" si="205"/>
        <v>0</v>
      </c>
      <c r="V495" s="306">
        <f t="shared" ca="1" si="206"/>
        <v>1.2086422102647179</v>
      </c>
      <c r="W495" s="304">
        <f t="shared" ca="1" si="207"/>
        <v>26.590095947054404</v>
      </c>
      <c r="Y495" s="314" t="str">
        <f t="shared" ca="1" si="225"/>
        <v/>
      </c>
      <c r="Z495" s="315" t="str">
        <f t="shared" ca="1" si="226"/>
        <v/>
      </c>
      <c r="AA495" s="316" t="str">
        <f t="shared" ca="1" si="227"/>
        <v/>
      </c>
      <c r="AC495" s="310" t="e">
        <f t="shared" ca="1" si="228"/>
        <v>#N/A</v>
      </c>
      <c r="AD495" s="323" t="e">
        <f t="shared" ca="1" si="229"/>
        <v>#N/A</v>
      </c>
      <c r="AE495" s="324" t="e">
        <f t="shared" ca="1" si="208"/>
        <v>#N/A</v>
      </c>
      <c r="AG495" s="306">
        <f t="shared" ca="1" si="230"/>
        <v>0.87718237072380134</v>
      </c>
      <c r="AH495" s="304">
        <f t="shared" ca="1" si="231"/>
        <v>-8.9006455990117441</v>
      </c>
    </row>
    <row r="496" spans="1:34" x14ac:dyDescent="0.2">
      <c r="A496" s="347">
        <f t="shared" ca="1" si="209"/>
        <v>0.1</v>
      </c>
      <c r="B496" s="304">
        <f t="shared" ca="1" si="210"/>
        <v>35.800000000000203</v>
      </c>
      <c r="D496" s="306">
        <f t="shared" ca="1" si="211"/>
        <v>-0.715406022386468</v>
      </c>
      <c r="E496" s="307">
        <f t="shared" ca="1" si="212"/>
        <v>-0.91377151462876505</v>
      </c>
      <c r="F496" s="304">
        <f t="shared" ca="1" si="213"/>
        <v>1.1605103006064938</v>
      </c>
      <c r="G496" s="306">
        <f t="shared" ca="1" si="214"/>
        <v>8.2369390918116601</v>
      </c>
      <c r="H496" s="307">
        <f t="shared" ca="1" si="215"/>
        <v>-103.40911758335697</v>
      </c>
      <c r="I496" s="304">
        <f t="shared" ca="1" si="216"/>
        <v>103.73665102060488</v>
      </c>
      <c r="J496" s="306">
        <f t="shared" ca="1" si="217"/>
        <v>830.32872067805829</v>
      </c>
      <c r="K496" s="307">
        <f t="shared" ca="1" si="218"/>
        <v>124.09417992866238</v>
      </c>
      <c r="L496" s="304">
        <f t="shared" ca="1" si="203"/>
        <v>839.55056421577626</v>
      </c>
      <c r="M496" s="306">
        <f t="shared" ca="1" si="219"/>
        <v>-1.4913102536056224</v>
      </c>
      <c r="N496" s="304">
        <f t="shared" ca="1" si="220"/>
        <v>-85.44578347618662</v>
      </c>
      <c r="P496" s="310">
        <f t="shared" ca="1" si="221"/>
        <v>23</v>
      </c>
      <c r="Q496" s="304">
        <f t="shared" ca="1" si="222"/>
        <v>0</v>
      </c>
      <c r="R496" s="306">
        <f t="shared" ca="1" si="223"/>
        <v>0</v>
      </c>
      <c r="S496" s="307">
        <f t="shared" ca="1" si="224"/>
        <v>2.9792999999999985</v>
      </c>
      <c r="T496" s="304">
        <f t="shared" ca="1" si="204"/>
        <v>29.226932999999988</v>
      </c>
      <c r="U496" s="311">
        <f t="shared" ca="1" si="205"/>
        <v>0</v>
      </c>
      <c r="V496" s="306">
        <f t="shared" ca="1" si="206"/>
        <v>1.2098922024461376</v>
      </c>
      <c r="W496" s="304">
        <f t="shared" ca="1" si="207"/>
        <v>26.661464046126273</v>
      </c>
      <c r="Y496" s="314" t="str">
        <f t="shared" ca="1" si="225"/>
        <v/>
      </c>
      <c r="Z496" s="315" t="str">
        <f t="shared" ca="1" si="226"/>
        <v/>
      </c>
      <c r="AA496" s="316" t="str">
        <f t="shared" ca="1" si="227"/>
        <v/>
      </c>
      <c r="AC496" s="310" t="e">
        <f t="shared" ca="1" si="228"/>
        <v>#N/A</v>
      </c>
      <c r="AD496" s="323" t="e">
        <f t="shared" ca="1" si="229"/>
        <v>#N/A</v>
      </c>
      <c r="AE496" s="324" t="e">
        <f t="shared" ca="1" si="208"/>
        <v>#N/A</v>
      </c>
      <c r="AG496" s="306">
        <f t="shared" ca="1" si="230"/>
        <v>0.85348563010743383</v>
      </c>
      <c r="AH496" s="304">
        <f t="shared" ca="1" si="231"/>
        <v>-8.9249474531112742</v>
      </c>
    </row>
    <row r="497" spans="1:34" x14ac:dyDescent="0.2">
      <c r="A497" s="347">
        <f t="shared" ca="1" si="209"/>
        <v>0.1</v>
      </c>
      <c r="B497" s="304">
        <f t="shared" ca="1" si="210"/>
        <v>35.900000000000205</v>
      </c>
      <c r="D497" s="306">
        <f t="shared" ca="1" si="211"/>
        <v>-0.71056430745795662</v>
      </c>
      <c r="E497" s="307">
        <f t="shared" ca="1" si="212"/>
        <v>-0.8893527545321227</v>
      </c>
      <c r="F497" s="304">
        <f t="shared" ca="1" si="213"/>
        <v>1.1383540560946228</v>
      </c>
      <c r="G497" s="306">
        <f t="shared" ca="1" si="214"/>
        <v>8.165882661065865</v>
      </c>
      <c r="H497" s="307">
        <f t="shared" ca="1" si="215"/>
        <v>-103.49805285881018</v>
      </c>
      <c r="I497" s="304">
        <f t="shared" ca="1" si="216"/>
        <v>103.819692665695</v>
      </c>
      <c r="J497" s="306">
        <f t="shared" ca="1" si="217"/>
        <v>831.14886176570212</v>
      </c>
      <c r="K497" s="307">
        <f t="shared" ca="1" si="218"/>
        <v>113.74882140655403</v>
      </c>
      <c r="L497" s="304">
        <f t="shared" ca="1" si="203"/>
        <v>838.89643269345368</v>
      </c>
      <c r="M497" s="306">
        <f t="shared" ca="1" si="219"/>
        <v>-1.4920605328640009</v>
      </c>
      <c r="N497" s="304">
        <f t="shared" ca="1" si="220"/>
        <v>-85.488771311147914</v>
      </c>
      <c r="P497" s="310">
        <f t="shared" ca="1" si="221"/>
        <v>23</v>
      </c>
      <c r="Q497" s="304">
        <f t="shared" ca="1" si="222"/>
        <v>0</v>
      </c>
      <c r="R497" s="306">
        <f t="shared" ca="1" si="223"/>
        <v>0</v>
      </c>
      <c r="S497" s="307">
        <f t="shared" ca="1" si="224"/>
        <v>2.9792999999999985</v>
      </c>
      <c r="T497" s="304">
        <f t="shared" ca="1" si="204"/>
        <v>29.226932999999988</v>
      </c>
      <c r="U497" s="311">
        <f t="shared" ca="1" si="205"/>
        <v>0</v>
      </c>
      <c r="V497" s="306">
        <f t="shared" ca="1" si="206"/>
        <v>1.2111445713118654</v>
      </c>
      <c r="W497" s="304">
        <f t="shared" ca="1" si="207"/>
        <v>26.731808060409978</v>
      </c>
      <c r="Y497" s="314" t="str">
        <f t="shared" ca="1" si="225"/>
        <v/>
      </c>
      <c r="Z497" s="315" t="str">
        <f t="shared" ca="1" si="226"/>
        <v/>
      </c>
      <c r="AA497" s="316" t="str">
        <f t="shared" ca="1" si="227"/>
        <v/>
      </c>
      <c r="AC497" s="310" t="e">
        <f t="shared" ca="1" si="228"/>
        <v>#N/A</v>
      </c>
      <c r="AD497" s="323" t="e">
        <f t="shared" ca="1" si="229"/>
        <v>#N/A</v>
      </c>
      <c r="AE497" s="324" t="e">
        <f t="shared" ca="1" si="208"/>
        <v>#N/A</v>
      </c>
      <c r="AG497" s="306">
        <f t="shared" ca="1" si="230"/>
        <v>0.83012424054487255</v>
      </c>
      <c r="AH497" s="304">
        <f t="shared" ca="1" si="231"/>
        <v>-8.9489021065774796</v>
      </c>
    </row>
    <row r="498" spans="1:34" x14ac:dyDescent="0.2">
      <c r="A498" s="347">
        <f t="shared" ca="1" si="209"/>
        <v>0.1</v>
      </c>
      <c r="B498" s="304">
        <f t="shared" ca="1" si="210"/>
        <v>36.000000000000206</v>
      </c>
      <c r="D498" s="306">
        <f t="shared" ca="1" si="211"/>
        <v>-0.70572823584388056</v>
      </c>
      <c r="E498" s="307">
        <f t="shared" ca="1" si="212"/>
        <v>-0.86528437169693539</v>
      </c>
      <c r="F498" s="304">
        <f t="shared" ca="1" si="213"/>
        <v>1.1165882798821938</v>
      </c>
      <c r="G498" s="306">
        <f t="shared" ca="1" si="214"/>
        <v>8.0953098374814765</v>
      </c>
      <c r="H498" s="307">
        <f t="shared" ca="1" si="215"/>
        <v>-103.58458129597987</v>
      </c>
      <c r="I498" s="304">
        <f t="shared" ca="1" si="216"/>
        <v>103.90043081541235</v>
      </c>
      <c r="J498" s="306">
        <f t="shared" ca="1" si="217"/>
        <v>831.96192139062953</v>
      </c>
      <c r="K498" s="307">
        <f t="shared" ca="1" si="218"/>
        <v>103.39468969881452</v>
      </c>
      <c r="L498" s="304">
        <f t="shared" ca="1" si="203"/>
        <v>838.36215354815613</v>
      </c>
      <c r="M498" s="306">
        <f t="shared" ca="1" si="219"/>
        <v>-1.4928031673196858</v>
      </c>
      <c r="N498" s="304">
        <f t="shared" ca="1" si="220"/>
        <v>-85.531321131179652</v>
      </c>
      <c r="P498" s="310">
        <f t="shared" ca="1" si="221"/>
        <v>23</v>
      </c>
      <c r="Q498" s="304">
        <f t="shared" ca="1" si="222"/>
        <v>0</v>
      </c>
      <c r="R498" s="306">
        <f t="shared" ca="1" si="223"/>
        <v>0</v>
      </c>
      <c r="S498" s="307">
        <f t="shared" ca="1" si="224"/>
        <v>2.9792999999999985</v>
      </c>
      <c r="T498" s="304">
        <f t="shared" ca="1" si="204"/>
        <v>29.226932999999988</v>
      </c>
      <c r="U498" s="311">
        <f t="shared" ca="1" si="205"/>
        <v>0</v>
      </c>
      <c r="V498" s="306">
        <f t="shared" ca="1" si="206"/>
        <v>1.2123992928223266</v>
      </c>
      <c r="W498" s="304">
        <f t="shared" ca="1" si="207"/>
        <v>26.801138340307798</v>
      </c>
      <c r="Y498" s="314" t="str">
        <f t="shared" ca="1" si="225"/>
        <v/>
      </c>
      <c r="Z498" s="315" t="str">
        <f t="shared" ca="1" si="226"/>
        <v/>
      </c>
      <c r="AA498" s="316" t="str">
        <f t="shared" ca="1" si="227"/>
        <v/>
      </c>
      <c r="AC498" s="310">
        <f t="shared" ca="1" si="228"/>
        <v>36.000000000000206</v>
      </c>
      <c r="AD498" s="323">
        <f t="shared" ca="1" si="229"/>
        <v>831.96192139062953</v>
      </c>
      <c r="AE498" s="324" t="e">
        <f t="shared" ca="1" si="208"/>
        <v>#N/A</v>
      </c>
      <c r="AG498" s="306">
        <f t="shared" ca="1" si="230"/>
        <v>0.80709498866564289</v>
      </c>
      <c r="AH498" s="304">
        <f t="shared" ca="1" si="231"/>
        <v>-8.9725130266874746</v>
      </c>
    </row>
    <row r="499" spans="1:34" x14ac:dyDescent="0.2">
      <c r="A499" s="347">
        <f t="shared" ca="1" si="209"/>
        <v>0.1</v>
      </c>
      <c r="B499" s="304">
        <f t="shared" ca="1" si="210"/>
        <v>36.100000000000207</v>
      </c>
      <c r="D499" s="306">
        <f t="shared" ca="1" si="211"/>
        <v>-0.70089850071006132</v>
      </c>
      <c r="E499" s="307">
        <f t="shared" ca="1" si="212"/>
        <v>-0.8415628203776091</v>
      </c>
      <c r="F499" s="304">
        <f t="shared" ca="1" si="213"/>
        <v>1.0952107965773199</v>
      </c>
      <c r="G499" s="306">
        <f t="shared" ca="1" si="214"/>
        <v>8.0252199874104697</v>
      </c>
      <c r="H499" s="307">
        <f t="shared" ca="1" si="215"/>
        <v>-103.66873757801764</v>
      </c>
      <c r="I499" s="304">
        <f t="shared" ca="1" si="216"/>
        <v>103.9788983730171</v>
      </c>
      <c r="J499" s="306">
        <f t="shared" ca="1" si="217"/>
        <v>832.76794788187408</v>
      </c>
      <c r="K499" s="307">
        <f t="shared" ca="1" si="218"/>
        <v>93.032023755114636</v>
      </c>
      <c r="L499" s="304">
        <f t="shared" ca="1" si="203"/>
        <v>837.94833519934866</v>
      </c>
      <c r="M499" s="306">
        <f t="shared" ca="1" si="219"/>
        <v>-1.493538256383653</v>
      </c>
      <c r="N499" s="304">
        <f t="shared" ca="1" si="220"/>
        <v>-85.573438632111205</v>
      </c>
      <c r="P499" s="310">
        <f t="shared" ca="1" si="221"/>
        <v>23</v>
      </c>
      <c r="Q499" s="304">
        <f t="shared" ca="1" si="222"/>
        <v>0</v>
      </c>
      <c r="R499" s="306">
        <f t="shared" ca="1" si="223"/>
        <v>0</v>
      </c>
      <c r="S499" s="307">
        <f t="shared" ca="1" si="224"/>
        <v>2.9792999999999985</v>
      </c>
      <c r="T499" s="304">
        <f t="shared" ca="1" si="204"/>
        <v>29.226932999999988</v>
      </c>
      <c r="U499" s="311">
        <f t="shared" ca="1" si="205"/>
        <v>0</v>
      </c>
      <c r="V499" s="306">
        <f t="shared" ca="1" si="206"/>
        <v>1.2136563432571772</v>
      </c>
      <c r="W499" s="304">
        <f t="shared" ca="1" si="207"/>
        <v>26.869465251753773</v>
      </c>
      <c r="Y499" s="314" t="str">
        <f t="shared" ca="1" si="225"/>
        <v/>
      </c>
      <c r="Z499" s="315" t="str">
        <f t="shared" ca="1" si="226"/>
        <v/>
      </c>
      <c r="AA499" s="316" t="str">
        <f t="shared" ca="1" si="227"/>
        <v/>
      </c>
      <c r="AC499" s="310" t="e">
        <f t="shared" ca="1" si="228"/>
        <v>#N/A</v>
      </c>
      <c r="AD499" s="323" t="e">
        <f t="shared" ca="1" si="229"/>
        <v>#N/A</v>
      </c>
      <c r="AE499" s="324" t="e">
        <f t="shared" ca="1" si="208"/>
        <v>#N/A</v>
      </c>
      <c r="AG499" s="306">
        <f t="shared" ca="1" si="230"/>
        <v>0.7843946479874937</v>
      </c>
      <c r="AH499" s="304">
        <f t="shared" ca="1" si="231"/>
        <v>-8.995783687546675</v>
      </c>
    </row>
    <row r="500" spans="1:34" x14ac:dyDescent="0.2">
      <c r="A500" s="347">
        <f t="shared" ca="1" si="209"/>
        <v>0.1</v>
      </c>
      <c r="B500" s="304">
        <f t="shared" ca="1" si="210"/>
        <v>36.200000000000209</v>
      </c>
      <c r="D500" s="306">
        <f t="shared" ca="1" si="211"/>
        <v>-0.69607577714159929</v>
      </c>
      <c r="E500" s="307">
        <f t="shared" ca="1" si="212"/>
        <v>-0.81818454969334731</v>
      </c>
      <c r="F500" s="304">
        <f t="shared" ca="1" si="213"/>
        <v>1.0742194584349081</v>
      </c>
      <c r="G500" s="306">
        <f t="shared" ca="1" si="214"/>
        <v>7.9556124096963101</v>
      </c>
      <c r="H500" s="307">
        <f t="shared" ca="1" si="215"/>
        <v>-103.75055603298698</v>
      </c>
      <c r="I500" s="304">
        <f t="shared" ca="1" si="216"/>
        <v>104.05512791769219</v>
      </c>
      <c r="J500" s="306">
        <f t="shared" ca="1" si="217"/>
        <v>833.56698950172938</v>
      </c>
      <c r="K500" s="307">
        <f t="shared" ca="1" si="218"/>
        <v>82.661059074564406</v>
      </c>
      <c r="L500" s="304">
        <f t="shared" ca="1" si="203"/>
        <v>837.65552387261482</v>
      </c>
      <c r="M500" s="306">
        <f t="shared" ca="1" si="219"/>
        <v>-1.4942658976022121</v>
      </c>
      <c r="N500" s="304">
        <f t="shared" ca="1" si="220"/>
        <v>-85.615129402934386</v>
      </c>
      <c r="P500" s="310">
        <f t="shared" ca="1" si="221"/>
        <v>23</v>
      </c>
      <c r="Q500" s="304">
        <f t="shared" ca="1" si="222"/>
        <v>0</v>
      </c>
      <c r="R500" s="306">
        <f t="shared" ca="1" si="223"/>
        <v>0</v>
      </c>
      <c r="S500" s="307">
        <f t="shared" ca="1" si="224"/>
        <v>2.9792999999999985</v>
      </c>
      <c r="T500" s="304">
        <f t="shared" ca="1" si="204"/>
        <v>29.226932999999988</v>
      </c>
      <c r="U500" s="311">
        <f t="shared" ca="1" si="205"/>
        <v>0</v>
      </c>
      <c r="V500" s="306">
        <f t="shared" ca="1" si="206"/>
        <v>1.2149156992125218</v>
      </c>
      <c r="W500" s="304">
        <f t="shared" ca="1" si="207"/>
        <v>26.936799171557393</v>
      </c>
      <c r="Y500" s="314" t="str">
        <f t="shared" ca="1" si="225"/>
        <v/>
      </c>
      <c r="Z500" s="315" t="str">
        <f t="shared" ca="1" si="226"/>
        <v/>
      </c>
      <c r="AA500" s="316" t="str">
        <f t="shared" ca="1" si="227"/>
        <v/>
      </c>
      <c r="AC500" s="310" t="e">
        <f t="shared" ca="1" si="228"/>
        <v>#N/A</v>
      </c>
      <c r="AD500" s="323" t="e">
        <f t="shared" ca="1" si="229"/>
        <v>#N/A</v>
      </c>
      <c r="AE500" s="324" t="e">
        <f t="shared" ca="1" si="208"/>
        <v>#N/A</v>
      </c>
      <c r="AG500" s="306">
        <f t="shared" ca="1" si="230"/>
        <v>0.76201998071601729</v>
      </c>
      <c r="AH500" s="304">
        <f t="shared" ca="1" si="231"/>
        <v>-9.0187175684737309</v>
      </c>
    </row>
    <row r="501" spans="1:34" x14ac:dyDescent="0.2">
      <c r="A501" s="347">
        <f t="shared" ca="1" si="209"/>
        <v>0.1</v>
      </c>
      <c r="B501" s="304">
        <f t="shared" ca="1" si="210"/>
        <v>36.30000000000021</v>
      </c>
      <c r="D501" s="306">
        <f t="shared" ca="1" si="211"/>
        <v>-0.69126072239747194</v>
      </c>
      <c r="E501" s="307">
        <f t="shared" ca="1" si="212"/>
        <v>-0.79514600521624779</v>
      </c>
      <c r="F501" s="304">
        <f t="shared" ca="1" si="213"/>
        <v>1.0536121468267305</v>
      </c>
      <c r="G501" s="306">
        <f t="shared" ca="1" si="214"/>
        <v>7.8864863374565628</v>
      </c>
      <c r="H501" s="307">
        <f t="shared" ca="1" si="215"/>
        <v>-103.8300706335086</v>
      </c>
      <c r="I501" s="304">
        <f t="shared" ca="1" si="216"/>
        <v>104.12915170359487</v>
      </c>
      <c r="J501" s="306">
        <f t="shared" ca="1" si="217"/>
        <v>834.35909443908702</v>
      </c>
      <c r="K501" s="307">
        <f t="shared" ca="1" si="218"/>
        <v>72.282027741239631</v>
      </c>
      <c r="L501" s="304">
        <f t="shared" ca="1" si="203"/>
        <v>837.48420284062593</v>
      </c>
      <c r="M501" s="306">
        <f t="shared" ca="1" si="219"/>
        <v>-1.4949861867037009</v>
      </c>
      <c r="N501" s="304">
        <f t="shared" ca="1" si="220"/>
        <v>-85.656398928478964</v>
      </c>
      <c r="P501" s="310">
        <f t="shared" ca="1" si="221"/>
        <v>23</v>
      </c>
      <c r="Q501" s="304">
        <f t="shared" ca="1" si="222"/>
        <v>0</v>
      </c>
      <c r="R501" s="306">
        <f t="shared" ca="1" si="223"/>
        <v>0</v>
      </c>
      <c r="S501" s="307">
        <f t="shared" ca="1" si="224"/>
        <v>2.9792999999999985</v>
      </c>
      <c r="T501" s="304">
        <f t="shared" ca="1" si="204"/>
        <v>29.226932999999988</v>
      </c>
      <c r="U501" s="311">
        <f t="shared" ca="1" si="205"/>
        <v>0</v>
      </c>
      <c r="V501" s="306">
        <f t="shared" ca="1" si="206"/>
        <v>1.2161773375981224</v>
      </c>
      <c r="W501" s="304">
        <f t="shared" ca="1" si="207"/>
        <v>27.003150482900399</v>
      </c>
      <c r="Y501" s="314" t="str">
        <f t="shared" ca="1" si="225"/>
        <v/>
      </c>
      <c r="Z501" s="315" t="str">
        <f t="shared" ca="1" si="226"/>
        <v/>
      </c>
      <c r="AA501" s="316" t="str">
        <f t="shared" ca="1" si="227"/>
        <v/>
      </c>
      <c r="AC501" s="310" t="e">
        <f t="shared" ca="1" si="228"/>
        <v>#N/A</v>
      </c>
      <c r="AD501" s="323" t="e">
        <f t="shared" ca="1" si="229"/>
        <v>#N/A</v>
      </c>
      <c r="AE501" s="324" t="e">
        <f t="shared" ca="1" si="208"/>
        <v>#N/A</v>
      </c>
      <c r="AG501" s="306">
        <f t="shared" ca="1" si="230"/>
        <v>0.73996773948572958</v>
      </c>
      <c r="AH501" s="304">
        <f t="shared" ca="1" si="231"/>
        <v>-9.041318152437622</v>
      </c>
    </row>
    <row r="502" spans="1:34" x14ac:dyDescent="0.2">
      <c r="A502" s="347">
        <f t="shared" ca="1" si="209"/>
        <v>0.1</v>
      </c>
      <c r="B502" s="304">
        <f t="shared" ca="1" si="210"/>
        <v>36.400000000000212</v>
      </c>
      <c r="D502" s="306">
        <f t="shared" ca="1" si="211"/>
        <v>-0.68645397616629444</v>
      </c>
      <c r="E502" s="307">
        <f t="shared" ca="1" si="212"/>
        <v>-0.77244363050711051</v>
      </c>
      <c r="F502" s="304">
        <f t="shared" ca="1" si="213"/>
        <v>1.0333867735294084</v>
      </c>
      <c r="G502" s="306">
        <f t="shared" ca="1" si="214"/>
        <v>7.8178409398399333</v>
      </c>
      <c r="H502" s="307">
        <f t="shared" ca="1" si="215"/>
        <v>-103.90731499655931</v>
      </c>
      <c r="I502" s="304">
        <f t="shared" ca="1" si="216"/>
        <v>104.20100165907637</v>
      </c>
      <c r="J502" s="306">
        <f t="shared" ca="1" si="217"/>
        <v>835.14431080295185</v>
      </c>
      <c r="K502" s="307">
        <f t="shared" ca="1" si="218"/>
        <v>61.895158459736237</v>
      </c>
      <c r="L502" s="304">
        <f t="shared" ca="1" si="203"/>
        <v>837.43479179413919</v>
      </c>
      <c r="M502" s="306">
        <f t="shared" ca="1" si="219"/>
        <v>-1.4956992176437927</v>
      </c>
      <c r="N502" s="304">
        <f t="shared" ca="1" si="220"/>
        <v>-85.697252592008468</v>
      </c>
      <c r="P502" s="310">
        <f t="shared" ca="1" si="221"/>
        <v>23</v>
      </c>
      <c r="Q502" s="304">
        <f t="shared" ca="1" si="222"/>
        <v>0</v>
      </c>
      <c r="R502" s="306">
        <f t="shared" ca="1" si="223"/>
        <v>0</v>
      </c>
      <c r="S502" s="307">
        <f t="shared" ca="1" si="224"/>
        <v>2.9792999999999985</v>
      </c>
      <c r="T502" s="304">
        <f t="shared" ca="1" si="204"/>
        <v>29.226932999999988</v>
      </c>
      <c r="U502" s="311">
        <f t="shared" ca="1" si="205"/>
        <v>0</v>
      </c>
      <c r="V502" s="306">
        <f t="shared" ca="1" si="206"/>
        <v>1.2174412356345901</v>
      </c>
      <c r="W502" s="304">
        <f t="shared" ca="1" si="207"/>
        <v>27.068529570983962</v>
      </c>
      <c r="Y502" s="314" t="str">
        <f t="shared" ca="1" si="225"/>
        <v/>
      </c>
      <c r="Z502" s="315" t="str">
        <f t="shared" ca="1" si="226"/>
        <v/>
      </c>
      <c r="AA502" s="316" t="str">
        <f t="shared" ca="1" si="227"/>
        <v/>
      </c>
      <c r="AC502" s="310" t="e">
        <f t="shared" ca="1" si="228"/>
        <v>#N/A</v>
      </c>
      <c r="AD502" s="323" t="e">
        <f t="shared" ca="1" si="229"/>
        <v>#N/A</v>
      </c>
      <c r="AE502" s="324" t="e">
        <f t="shared" ca="1" si="208"/>
        <v>#N/A</v>
      </c>
      <c r="AG502" s="306">
        <f t="shared" ca="1" si="230"/>
        <v>0.71823466904366207</v>
      </c>
      <c r="AH502" s="304">
        <f t="shared" ca="1" si="231"/>
        <v>-9.0635889245461723</v>
      </c>
    </row>
    <row r="503" spans="1:34" x14ac:dyDescent="0.2">
      <c r="A503" s="347">
        <f t="shared" ca="1" si="209"/>
        <v>0.1</v>
      </c>
      <c r="B503" s="304">
        <f t="shared" ca="1" si="210"/>
        <v>36.500000000000213</v>
      </c>
      <c r="D503" s="306">
        <f t="shared" ca="1" si="211"/>
        <v>-0.68165616082304303</v>
      </c>
      <c r="E503" s="307">
        <f t="shared" ca="1" si="212"/>
        <v>-0.75007386859991243</v>
      </c>
      <c r="F503" s="304">
        <f t="shared" ca="1" si="213"/>
        <v>1.0135412818156195</v>
      </c>
      <c r="G503" s="306">
        <f t="shared" ca="1" si="214"/>
        <v>7.7496753237576295</v>
      </c>
      <c r="H503" s="307">
        <f t="shared" ca="1" si="215"/>
        <v>-103.9823223834193</v>
      </c>
      <c r="I503" s="304">
        <f t="shared" ca="1" si="216"/>
        <v>104.27070938606393</v>
      </c>
      <c r="J503" s="306">
        <f t="shared" ca="1" si="217"/>
        <v>835.92268661613173</v>
      </c>
      <c r="K503" s="307">
        <f t="shared" ca="1" si="218"/>
        <v>51.500676590737307</v>
      </c>
      <c r="L503" s="304">
        <f t="shared" ca="1" si="203"/>
        <v>837.50764634648874</v>
      </c>
      <c r="M503" s="306">
        <f t="shared" ca="1" si="219"/>
        <v>-1.4964050826494655</v>
      </c>
      <c r="N503" s="304">
        <f t="shared" ca="1" si="220"/>
        <v>-85.737695677739509</v>
      </c>
      <c r="P503" s="310">
        <f t="shared" ca="1" si="221"/>
        <v>23</v>
      </c>
      <c r="Q503" s="304">
        <f t="shared" ca="1" si="222"/>
        <v>0</v>
      </c>
      <c r="R503" s="306">
        <f t="shared" ca="1" si="223"/>
        <v>0</v>
      </c>
      <c r="S503" s="307">
        <f t="shared" ca="1" si="224"/>
        <v>2.9792999999999985</v>
      </c>
      <c r="T503" s="304">
        <f t="shared" ca="1" si="204"/>
        <v>29.226932999999988</v>
      </c>
      <c r="U503" s="311">
        <f t="shared" ca="1" si="205"/>
        <v>0</v>
      </c>
      <c r="V503" s="306">
        <f t="shared" ca="1" si="206"/>
        <v>1.2187073708505713</v>
      </c>
      <c r="W503" s="304">
        <f t="shared" ca="1" si="207"/>
        <v>27.13294681882352</v>
      </c>
      <c r="Y503" s="314" t="str">
        <f t="shared" ca="1" si="225"/>
        <v/>
      </c>
      <c r="Z503" s="315" t="str">
        <f t="shared" ca="1" si="226"/>
        <v/>
      </c>
      <c r="AA503" s="316" t="str">
        <f t="shared" ca="1" si="227"/>
        <v/>
      </c>
      <c r="AC503" s="310" t="e">
        <f t="shared" ca="1" si="228"/>
        <v>#N/A</v>
      </c>
      <c r="AD503" s="323" t="e">
        <f t="shared" ca="1" si="229"/>
        <v>#N/A</v>
      </c>
      <c r="AE503" s="324" t="e">
        <f t="shared" ca="1" si="208"/>
        <v>#N/A</v>
      </c>
      <c r="AG503" s="306">
        <f t="shared" ca="1" si="230"/>
        <v>0.69681750787659524</v>
      </c>
      <c r="AH503" s="304">
        <f t="shared" ca="1" si="231"/>
        <v>-9.0855333705850292</v>
      </c>
    </row>
    <row r="504" spans="1:34" x14ac:dyDescent="0.2">
      <c r="A504" s="347">
        <f t="shared" ca="1" si="209"/>
        <v>0.1</v>
      </c>
      <c r="B504" s="304">
        <f t="shared" ca="1" si="210"/>
        <v>36.600000000000215</v>
      </c>
      <c r="D504" s="306">
        <f t="shared" ca="1" si="211"/>
        <v>-0.67686788168648182</v>
      </c>
      <c r="E504" s="307">
        <f t="shared" ca="1" si="212"/>
        <v>-0.72803316343591185</v>
      </c>
      <c r="F504" s="304">
        <f t="shared" ca="1" si="213"/>
        <v>0.99407364733265424</v>
      </c>
      <c r="G504" s="306">
        <f t="shared" ca="1" si="214"/>
        <v>7.6819885355889816</v>
      </c>
      <c r="H504" s="307">
        <f t="shared" ca="1" si="215"/>
        <v>-104.0551256997629</v>
      </c>
      <c r="I504" s="304">
        <f t="shared" ca="1" si="216"/>
        <v>104.33830615959977</v>
      </c>
      <c r="J504" s="306">
        <f t="shared" ca="1" si="217"/>
        <v>836.69426980909907</v>
      </c>
      <c r="K504" s="307">
        <f t="shared" ca="1" si="218"/>
        <v>41.098804186578192</v>
      </c>
      <c r="L504" s="304">
        <f t="shared" ca="1" si="203"/>
        <v>837.70305767434559</v>
      </c>
      <c r="M504" s="306">
        <f t="shared" ca="1" si="219"/>
        <v>-1.4971038722616765</v>
      </c>
      <c r="N504" s="304">
        <f t="shared" ca="1" si="220"/>
        <v>-85.777733373286779</v>
      </c>
      <c r="P504" s="310">
        <f t="shared" ca="1" si="221"/>
        <v>23</v>
      </c>
      <c r="Q504" s="304">
        <f t="shared" ca="1" si="222"/>
        <v>0</v>
      </c>
      <c r="R504" s="306">
        <f t="shared" ca="1" si="223"/>
        <v>0</v>
      </c>
      <c r="S504" s="307">
        <f t="shared" ca="1" si="224"/>
        <v>2.9792999999999985</v>
      </c>
      <c r="T504" s="304">
        <f t="shared" ca="1" si="204"/>
        <v>29.226932999999988</v>
      </c>
      <c r="U504" s="311">
        <f t="shared" ca="1" si="205"/>
        <v>0</v>
      </c>
      <c r="V504" s="306">
        <f t="shared" ca="1" si="206"/>
        <v>1.21997572107992</v>
      </c>
      <c r="W504" s="304">
        <f t="shared" ca="1" si="207"/>
        <v>27.196412603188591</v>
      </c>
      <c r="Y504" s="314" t="str">
        <f t="shared" ca="1" si="225"/>
        <v/>
      </c>
      <c r="Z504" s="315" t="str">
        <f t="shared" ca="1" si="226"/>
        <v/>
      </c>
      <c r="AA504" s="316" t="str">
        <f t="shared" ca="1" si="227"/>
        <v/>
      </c>
      <c r="AC504" s="310" t="e">
        <f t="shared" ca="1" si="228"/>
        <v>#N/A</v>
      </c>
      <c r="AD504" s="323" t="e">
        <f t="shared" ca="1" si="229"/>
        <v>#N/A</v>
      </c>
      <c r="AE504" s="324" t="e">
        <f t="shared" ca="1" si="208"/>
        <v>#N/A</v>
      </c>
      <c r="AG504" s="306">
        <f t="shared" ca="1" si="230"/>
        <v>0.67571298978311667</v>
      </c>
      <c r="AH504" s="304">
        <f t="shared" ca="1" si="231"/>
        <v>-9.1071549756061945</v>
      </c>
    </row>
    <row r="505" spans="1:34" x14ac:dyDescent="0.2">
      <c r="A505" s="347">
        <f t="shared" ca="1" si="209"/>
        <v>0.1</v>
      </c>
      <c r="B505" s="304">
        <f t="shared" ca="1" si="210"/>
        <v>36.700000000000216</v>
      </c>
      <c r="D505" s="306">
        <f t="shared" ca="1" si="211"/>
        <v>-0.6720897272771047</v>
      </c>
      <c r="E505" s="307">
        <f t="shared" ca="1" si="212"/>
        <v>-0.70631796124820845</v>
      </c>
      <c r="F505" s="304">
        <f t="shared" ca="1" si="213"/>
        <v>0.97498187875120967</v>
      </c>
      <c r="G505" s="306">
        <f t="shared" ca="1" si="214"/>
        <v>7.6147795628612709</v>
      </c>
      <c r="H505" s="307">
        <f t="shared" ca="1" si="215"/>
        <v>-104.12575749588771</v>
      </c>
      <c r="I505" s="304">
        <f t="shared" ca="1" si="216"/>
        <v>104.40382292753166</v>
      </c>
      <c r="J505" s="306">
        <f t="shared" ca="1" si="217"/>
        <v>837.45910821402163</v>
      </c>
      <c r="K505" s="307">
        <f t="shared" ca="1" si="218"/>
        <v>30.689760026795661</v>
      </c>
      <c r="L505" s="304">
        <f t="shared" ca="1" si="203"/>
        <v>838.02125229681781</v>
      </c>
      <c r="M505" s="306">
        <f t="shared" ca="1" si="219"/>
        <v>-1.4977956753767852</v>
      </c>
      <c r="N505" s="304">
        <f t="shared" ca="1" si="220"/>
        <v>-85.817370772036512</v>
      </c>
      <c r="P505" s="310">
        <f t="shared" ca="1" si="221"/>
        <v>23</v>
      </c>
      <c r="Q505" s="304">
        <f t="shared" ca="1" si="222"/>
        <v>0</v>
      </c>
      <c r="R505" s="306">
        <f t="shared" ca="1" si="223"/>
        <v>0</v>
      </c>
      <c r="S505" s="307">
        <f t="shared" ca="1" si="224"/>
        <v>2.9792999999999985</v>
      </c>
      <c r="T505" s="304">
        <f t="shared" ca="1" si="204"/>
        <v>29.226932999999988</v>
      </c>
      <c r="U505" s="311">
        <f t="shared" ca="1" si="205"/>
        <v>0</v>
      </c>
      <c r="V505" s="306">
        <f t="shared" ca="1" si="206"/>
        <v>1.2212462644588657</v>
      </c>
      <c r="W505" s="304">
        <f t="shared" ca="1" si="207"/>
        <v>27.258937290684948</v>
      </c>
      <c r="Y505" s="314" t="str">
        <f t="shared" ca="1" si="225"/>
        <v/>
      </c>
      <c r="Z505" s="315" t="str">
        <f t="shared" ca="1" si="226"/>
        <v/>
      </c>
      <c r="AA505" s="316" t="str">
        <f t="shared" ca="1" si="227"/>
        <v/>
      </c>
      <c r="AC505" s="310" t="e">
        <f t="shared" ca="1" si="228"/>
        <v>#N/A</v>
      </c>
      <c r="AD505" s="323" t="e">
        <f t="shared" ca="1" si="229"/>
        <v>#N/A</v>
      </c>
      <c r="AE505" s="324" t="e">
        <f t="shared" ca="1" si="208"/>
        <v>#N/A</v>
      </c>
      <c r="AG505" s="306">
        <f t="shared" ca="1" si="230"/>
        <v>0.65491784539158715</v>
      </c>
      <c r="AH505" s="304">
        <f t="shared" ca="1" si="231"/>
        <v>-9.1284572225652347</v>
      </c>
    </row>
    <row r="506" spans="1:34" x14ac:dyDescent="0.2">
      <c r="A506" s="347">
        <f t="shared" ca="1" si="209"/>
        <v>0.1</v>
      </c>
      <c r="B506" s="304">
        <f t="shared" ca="1" si="210"/>
        <v>36.800000000000217</v>
      </c>
      <c r="D506" s="306">
        <f t="shared" ca="1" si="211"/>
        <v>-0.66732226957537932</v>
      </c>
      <c r="E506" s="307">
        <f t="shared" ca="1" si="212"/>
        <v>-0.68492471189775017</v>
      </c>
      <c r="F506" s="304">
        <f t="shared" ca="1" si="213"/>
        <v>0.95626401816624429</v>
      </c>
      <c r="G506" s="306">
        <f t="shared" ca="1" si="214"/>
        <v>7.5480473359037328</v>
      </c>
      <c r="H506" s="307">
        <f t="shared" ca="1" si="215"/>
        <v>-104.19424996707748</v>
      </c>
      <c r="I506" s="304">
        <f t="shared" ca="1" si="216"/>
        <v>104.46729031034963</v>
      </c>
      <c r="J506" s="306">
        <f t="shared" ca="1" si="217"/>
        <v>838.21724955895991</v>
      </c>
      <c r="K506" s="307">
        <f t="shared" ca="1" si="218"/>
        <v>20.273759653647403</v>
      </c>
      <c r="L506" s="304">
        <f t="shared" ca="1" si="203"/>
        <v>838.46239199422746</v>
      </c>
      <c r="M506" s="306">
        <f t="shared" ca="1" si="219"/>
        <v>-1.4984805792867675</v>
      </c>
      <c r="N506" s="304">
        <f t="shared" ca="1" si="220"/>
        <v>-85.856612875450509</v>
      </c>
      <c r="P506" s="310">
        <f t="shared" ca="1" si="221"/>
        <v>23</v>
      </c>
      <c r="Q506" s="304">
        <f t="shared" ca="1" si="222"/>
        <v>0</v>
      </c>
      <c r="R506" s="306">
        <f t="shared" ca="1" si="223"/>
        <v>0</v>
      </c>
      <c r="S506" s="307">
        <f t="shared" ca="1" si="224"/>
        <v>2.9792999999999985</v>
      </c>
      <c r="T506" s="304">
        <f t="shared" ca="1" si="204"/>
        <v>29.226932999999988</v>
      </c>
      <c r="U506" s="311">
        <f t="shared" ca="1" si="205"/>
        <v>0</v>
      </c>
      <c r="V506" s="306">
        <f t="shared" ca="1" si="206"/>
        <v>1.2225189794231719</v>
      </c>
      <c r="W506" s="304">
        <f t="shared" ca="1" si="207"/>
        <v>27.320531233976201</v>
      </c>
      <c r="Y506" s="314" t="str">
        <f t="shared" ca="1" si="225"/>
        <v/>
      </c>
      <c r="Z506" s="315" t="str">
        <f t="shared" ca="1" si="226"/>
        <v/>
      </c>
      <c r="AA506" s="316" t="str">
        <f t="shared" ca="1" si="227"/>
        <v/>
      </c>
      <c r="AC506" s="310" t="e">
        <f t="shared" ca="1" si="228"/>
        <v>#N/A</v>
      </c>
      <c r="AD506" s="323" t="e">
        <f t="shared" ca="1" si="229"/>
        <v>#N/A</v>
      </c>
      <c r="AE506" s="324" t="e">
        <f t="shared" ca="1" si="208"/>
        <v>#N/A</v>
      </c>
      <c r="AG506" s="306">
        <f t="shared" ca="1" si="230"/>
        <v>0.63442880362510401</v>
      </c>
      <c r="AH506" s="304">
        <f t="shared" ca="1" si="231"/>
        <v>-9.1494435910062641</v>
      </c>
    </row>
    <row r="507" spans="1:34" x14ac:dyDescent="0.2">
      <c r="A507" s="347">
        <f t="shared" ca="1" si="209"/>
        <v>0.1</v>
      </c>
      <c r="B507" s="304">
        <f t="shared" ca="1" si="210"/>
        <v>36.900000000000219</v>
      </c>
      <c r="D507" s="306">
        <f t="shared" ca="1" si="211"/>
        <v>-0.66256606428008002</v>
      </c>
      <c r="E507" s="307">
        <f t="shared" ca="1" si="212"/>
        <v>-0.66384987016173724</v>
      </c>
      <c r="F507" s="304">
        <f t="shared" ca="1" si="213"/>
        <v>0.93791814123053963</v>
      </c>
      <c r="G507" s="306">
        <f t="shared" ca="1" si="214"/>
        <v>7.4817907294757244</v>
      </c>
      <c r="H507" s="307">
        <f t="shared" ca="1" si="215"/>
        <v>-104.26063495409366</v>
      </c>
      <c r="I507" s="304">
        <f t="shared" ca="1" si="216"/>
        <v>104.52873860116387</v>
      </c>
      <c r="J507" s="306">
        <f t="shared" ca="1" si="217"/>
        <v>838.96874146222888</v>
      </c>
      <c r="K507" s="307">
        <f t="shared" ca="1" si="218"/>
        <v>9.8510154075888465</v>
      </c>
      <c r="L507" s="304">
        <f t="shared" ca="1" si="203"/>
        <v>839.02657386716714</v>
      </c>
      <c r="M507" s="306">
        <f t="shared" ca="1" si="219"/>
        <v>-1.4991586697182608</v>
      </c>
      <c r="N507" s="304">
        <f t="shared" ca="1" si="220"/>
        <v>-85.895464595303281</v>
      </c>
      <c r="P507" s="310">
        <f t="shared" ca="1" si="221"/>
        <v>23</v>
      </c>
      <c r="Q507" s="304">
        <f t="shared" ca="1" si="222"/>
        <v>0</v>
      </c>
      <c r="R507" s="306">
        <f t="shared" ca="1" si="223"/>
        <v>0</v>
      </c>
      <c r="S507" s="307">
        <f t="shared" ca="1" si="224"/>
        <v>2.9792999999999985</v>
      </c>
      <c r="T507" s="304">
        <f t="shared" ca="1" si="204"/>
        <v>29.226932999999988</v>
      </c>
      <c r="U507" s="311">
        <f t="shared" ca="1" si="205"/>
        <v>0</v>
      </c>
      <c r="V507" s="306">
        <f t="shared" ca="1" si="206"/>
        <v>1.2237938447052903</v>
      </c>
      <c r="W507" s="304">
        <f t="shared" ca="1" si="207"/>
        <v>27.381204768142378</v>
      </c>
      <c r="Y507" s="314" t="str">
        <f t="shared" ca="1" si="225"/>
        <v/>
      </c>
      <c r="Z507" s="315" t="str">
        <f t="shared" ca="1" si="226"/>
        <v/>
      </c>
      <c r="AA507" s="316" t="str">
        <f t="shared" ca="1" si="227"/>
        <v/>
      </c>
      <c r="AC507" s="310" t="e">
        <f t="shared" ca="1" si="228"/>
        <v>#N/A</v>
      </c>
      <c r="AD507" s="323" t="e">
        <f t="shared" ca="1" si="229"/>
        <v>#N/A</v>
      </c>
      <c r="AE507" s="324" t="e">
        <f t="shared" ca="1" si="208"/>
        <v>#N/A</v>
      </c>
      <c r="AG507" s="306">
        <f t="shared" ca="1" si="230"/>
        <v>0.61424259311469243</v>
      </c>
      <c r="AH507" s="304">
        <f t="shared" ca="1" si="231"/>
        <v>-9.1701175557937145</v>
      </c>
    </row>
    <row r="508" spans="1:34" x14ac:dyDescent="0.2">
      <c r="A508" s="347">
        <f t="shared" ca="1" si="209"/>
        <v>0.1</v>
      </c>
      <c r="B508" s="304">
        <f t="shared" ca="1" si="210"/>
        <v>37.00000000000022</v>
      </c>
      <c r="D508" s="306">
        <f t="shared" ca="1" si="211"/>
        <v>-0.65782165106654333</v>
      </c>
      <c r="E508" s="307">
        <f t="shared" ca="1" si="212"/>
        <v>-0.6430898969752441</v>
      </c>
      <c r="F508" s="304">
        <f t="shared" ca="1" si="213"/>
        <v>0.91994235700044991</v>
      </c>
      <c r="G508" s="306">
        <f t="shared" ca="1" si="214"/>
        <v>7.4160085643690703</v>
      </c>
      <c r="H508" s="307">
        <f t="shared" ca="1" si="215"/>
        <v>-104.32494394379118</v>
      </c>
      <c r="I508" s="304">
        <f t="shared" ca="1" si="216"/>
        <v>104.58819776581853</v>
      </c>
      <c r="J508" s="306">
        <f t="shared" ca="1" si="217"/>
        <v>839.7136314269211</v>
      </c>
      <c r="K508" s="307">
        <f t="shared" ca="1" si="218"/>
        <v>-0.57826353730539637</v>
      </c>
      <c r="L508" s="304">
        <f t="shared" ca="1" si="203"/>
        <v>839.71383053568059</v>
      </c>
      <c r="M508" s="306">
        <f t="shared" ca="1" si="219"/>
        <v>-1.4998300308704762</v>
      </c>
      <c r="N508" s="304">
        <f t="shared" ca="1" si="220"/>
        <v>-85.933930755854263</v>
      </c>
      <c r="P508" s="310">
        <f t="shared" ca="1" si="221"/>
        <v>23</v>
      </c>
      <c r="Q508" s="304">
        <f t="shared" ca="1" si="222"/>
        <v>0</v>
      </c>
      <c r="R508" s="306">
        <f t="shared" ca="1" si="223"/>
        <v>0</v>
      </c>
      <c r="S508" s="307">
        <f t="shared" ca="1" si="224"/>
        <v>2.9792999999999985</v>
      </c>
      <c r="T508" s="304">
        <f t="shared" ca="1" si="204"/>
        <v>29.226932999999988</v>
      </c>
      <c r="U508" s="311">
        <f t="shared" ca="1" si="205"/>
        <v>0</v>
      </c>
      <c r="V508" s="306">
        <f t="shared" ca="1" si="206"/>
        <v>1.2250708393315104</v>
      </c>
      <c r="W508" s="304">
        <f t="shared" ca="1" si="207"/>
        <v>27.440968207172418</v>
      </c>
      <c r="Y508" s="314" t="str">
        <f t="shared" ca="1" si="225"/>
        <v>Impact balistique</v>
      </c>
      <c r="Z508" s="315" t="str">
        <f t="shared" ca="1" si="226"/>
        <v/>
      </c>
      <c r="AA508" s="316" t="str">
        <f t="shared" ca="1" si="227"/>
        <v/>
      </c>
      <c r="AC508" s="310">
        <f t="shared" ca="1" si="228"/>
        <v>37.00000000000022</v>
      </c>
      <c r="AD508" s="323">
        <f t="shared" ca="1" si="229"/>
        <v>839.7136314269211</v>
      </c>
      <c r="AE508" s="324" t="e">
        <f t="shared" ca="1" si="208"/>
        <v>#N/A</v>
      </c>
      <c r="AG508" s="306">
        <f t="shared" ca="1" si="230"/>
        <v>0.59435594356164678</v>
      </c>
      <c r="AH508" s="304">
        <f t="shared" ca="1" si="231"/>
        <v>-9.1904825858901056</v>
      </c>
    </row>
    <row r="509" spans="1:34" x14ac:dyDescent="0.2">
      <c r="A509" s="347">
        <f t="shared" ca="1" si="209"/>
        <v>1E-4</v>
      </c>
      <c r="B509" s="304">
        <f t="shared" ca="1" si="210"/>
        <v>37.000100000000224</v>
      </c>
      <c r="D509" s="306">
        <f t="shared" ca="1" si="211"/>
        <v>-0.65308955384466383</v>
      </c>
      <c r="E509" s="307">
        <f t="shared" ca="1" si="212"/>
        <v>-0.62264126062715164</v>
      </c>
      <c r="F509" s="304">
        <f t="shared" ca="1" si="213"/>
        <v>0.90233480747247619</v>
      </c>
      <c r="G509" s="306">
        <f t="shared" ca="1" si="214"/>
        <v>7.4159432554136862</v>
      </c>
      <c r="H509" s="307">
        <f t="shared" ca="1" si="215"/>
        <v>-104.32500620791724</v>
      </c>
      <c r="I509" s="304">
        <f t="shared" ca="1" si="216"/>
        <v>104.58825524240036</v>
      </c>
      <c r="J509" s="306">
        <f t="shared" ca="1" si="217"/>
        <v>839.7136314269211</v>
      </c>
      <c r="K509" s="307">
        <f t="shared" ca="1" si="218"/>
        <v>-0.58869603481298183</v>
      </c>
      <c r="L509" s="304">
        <f t="shared" ca="1" si="203"/>
        <v>839.71383778475899</v>
      </c>
      <c r="M509" s="306">
        <f t="shared" ca="1" si="219"/>
        <v>-1.4998306959500849</v>
      </c>
      <c r="N509" s="304">
        <f t="shared" ca="1" si="220"/>
        <v>-85.93396886210887</v>
      </c>
      <c r="P509" s="310">
        <f t="shared" ca="1" si="221"/>
        <v>23</v>
      </c>
      <c r="Q509" s="304">
        <f t="shared" ca="1" si="222"/>
        <v>0</v>
      </c>
      <c r="R509" s="306">
        <f t="shared" ca="1" si="223"/>
        <v>0</v>
      </c>
      <c r="S509" s="307">
        <f t="shared" ca="1" si="224"/>
        <v>2.9792999999999985</v>
      </c>
      <c r="T509" s="304">
        <f t="shared" ca="1" si="204"/>
        <v>29.226932999999988</v>
      </c>
      <c r="U509" s="311">
        <f t="shared" ca="1" si="205"/>
        <v>0</v>
      </c>
      <c r="V509" s="306">
        <f t="shared" ca="1" si="206"/>
        <v>1.2250721173870258</v>
      </c>
      <c r="W509" s="304">
        <f t="shared" ca="1" si="207"/>
        <v>27.441026995450802</v>
      </c>
      <c r="Y509" s="314" t="str">
        <f t="shared" ca="1" si="225"/>
        <v/>
      </c>
      <c r="Z509" s="315" t="str">
        <f t="shared" ca="1" si="226"/>
        <v/>
      </c>
      <c r="AA509" s="316" t="str">
        <f t="shared" ca="1" si="227"/>
        <v/>
      </c>
      <c r="AC509" s="310">
        <f t="shared" ca="1" si="228"/>
        <v>37.000100000000224</v>
      </c>
      <c r="AD509" s="323">
        <f t="shared" ca="1" si="229"/>
        <v>839.7136314269211</v>
      </c>
      <c r="AE509" s="324" t="e">
        <f t="shared" ca="1" si="208"/>
        <v>#N/A</v>
      </c>
      <c r="AG509" s="306">
        <f t="shared" ca="1" si="230"/>
        <v>0.57476558705033298</v>
      </c>
      <c r="AH509" s="304">
        <f t="shared" ca="1" si="231"/>
        <v>-9.2105421431787438</v>
      </c>
    </row>
    <row r="510" spans="1:34" x14ac:dyDescent="0.2">
      <c r="A510" s="347">
        <f t="shared" ca="1" si="209"/>
        <v>1E-4</v>
      </c>
      <c r="B510" s="304">
        <f t="shared" ca="1" si="210"/>
        <v>37.000200000000227</v>
      </c>
      <c r="D510" s="306">
        <f t="shared" ca="1" si="211"/>
        <v>-0.65308484265573841</v>
      </c>
      <c r="E510" s="307">
        <f t="shared" ca="1" si="212"/>
        <v>-0.62262114369348787</v>
      </c>
      <c r="F510" s="304">
        <f t="shared" ca="1" si="213"/>
        <v>0.90231751633272494</v>
      </c>
      <c r="G510" s="306">
        <f t="shared" ca="1" si="214"/>
        <v>7.4158779469294203</v>
      </c>
      <c r="H510" s="307">
        <f t="shared" ca="1" si="215"/>
        <v>-104.32506847003161</v>
      </c>
      <c r="I510" s="304">
        <f t="shared" ca="1" si="216"/>
        <v>104.58831271705523</v>
      </c>
      <c r="J510" s="306">
        <f t="shared" ca="1" si="217"/>
        <v>839.7136314269211</v>
      </c>
      <c r="K510" s="307">
        <f t="shared" ca="1" si="218"/>
        <v>-0.59912853854687931</v>
      </c>
      <c r="L510" s="304">
        <f t="shared" ca="1" si="203"/>
        <v>839.7138451634537</v>
      </c>
      <c r="M510" s="306">
        <f t="shared" ca="1" si="219"/>
        <v>-1.4998313610231055</v>
      </c>
      <c r="N510" s="304">
        <f t="shared" ca="1" si="220"/>
        <v>-85.934006967986022</v>
      </c>
      <c r="P510" s="310">
        <f t="shared" ca="1" si="221"/>
        <v>23</v>
      </c>
      <c r="Q510" s="304">
        <f t="shared" ca="1" si="222"/>
        <v>0</v>
      </c>
      <c r="R510" s="306">
        <f t="shared" ca="1" si="223"/>
        <v>0</v>
      </c>
      <c r="S510" s="307">
        <f t="shared" ca="1" si="224"/>
        <v>2.9792999999999985</v>
      </c>
      <c r="T510" s="304">
        <f t="shared" ca="1" si="204"/>
        <v>29.226932999999988</v>
      </c>
      <c r="U510" s="311">
        <f t="shared" ca="1" si="205"/>
        <v>0</v>
      </c>
      <c r="V510" s="306">
        <f t="shared" ca="1" si="206"/>
        <v>1.2250733954446371</v>
      </c>
      <c r="W510" s="304">
        <f t="shared" ca="1" si="207"/>
        <v>27.441085782844475</v>
      </c>
      <c r="Y510" s="314" t="str">
        <f t="shared" ca="1" si="225"/>
        <v/>
      </c>
      <c r="Z510" s="315" t="str">
        <f t="shared" ca="1" si="226"/>
        <v/>
      </c>
      <c r="AA510" s="316" t="str">
        <f t="shared" ca="1" si="227"/>
        <v/>
      </c>
      <c r="AC510" s="310">
        <f t="shared" ca="1" si="228"/>
        <v>37.000200000000227</v>
      </c>
      <c r="AD510" s="323">
        <f t="shared" ca="1" si="229"/>
        <v>839.7136314269211</v>
      </c>
      <c r="AE510" s="324" t="e">
        <f t="shared" ca="1" si="208"/>
        <v>#N/A</v>
      </c>
      <c r="AG510" s="306">
        <f t="shared" ca="1" si="230"/>
        <v>0.57474631742903881</v>
      </c>
      <c r="AH510" s="304">
        <f t="shared" ca="1" si="231"/>
        <v>-9.2105618754240304</v>
      </c>
    </row>
    <row r="511" spans="1:34" x14ac:dyDescent="0.2">
      <c r="A511" s="347">
        <f t="shared" ca="1" si="209"/>
        <v>1E-4</v>
      </c>
      <c r="B511" s="304">
        <f t="shared" ca="1" si="210"/>
        <v>37.00030000000023</v>
      </c>
      <c r="D511" s="306">
        <f t="shared" ca="1" si="211"/>
        <v>-0.65308013147981492</v>
      </c>
      <c r="E511" s="307">
        <f t="shared" ca="1" si="212"/>
        <v>-0.62260102706253484</v>
      </c>
      <c r="F511" s="304">
        <f t="shared" ca="1" si="213"/>
        <v>0.90230022555301159</v>
      </c>
      <c r="G511" s="306">
        <f t="shared" ca="1" si="214"/>
        <v>7.4158126389162726</v>
      </c>
      <c r="H511" s="307">
        <f t="shared" ca="1" si="215"/>
        <v>-104.32513073013432</v>
      </c>
      <c r="I511" s="304">
        <f t="shared" ca="1" si="216"/>
        <v>104.58837018978318</v>
      </c>
      <c r="J511" s="306">
        <f t="shared" ca="1" si="217"/>
        <v>839.7136314269211</v>
      </c>
      <c r="K511" s="307">
        <f t="shared" ca="1" si="218"/>
        <v>-0.60956104850688764</v>
      </c>
      <c r="L511" s="304">
        <f t="shared" ca="1" si="203"/>
        <v>839.71385267176515</v>
      </c>
      <c r="M511" s="306">
        <f t="shared" ca="1" si="219"/>
        <v>-1.4998320260895384</v>
      </c>
      <c r="N511" s="304">
        <f t="shared" ca="1" si="220"/>
        <v>-85.93404507348572</v>
      </c>
      <c r="P511" s="310">
        <f t="shared" ca="1" si="221"/>
        <v>23</v>
      </c>
      <c r="Q511" s="304">
        <f t="shared" ca="1" si="222"/>
        <v>0</v>
      </c>
      <c r="R511" s="306">
        <f t="shared" ca="1" si="223"/>
        <v>0</v>
      </c>
      <c r="S511" s="307">
        <f t="shared" ca="1" si="224"/>
        <v>2.9792999999999985</v>
      </c>
      <c r="T511" s="304">
        <f t="shared" ca="1" si="204"/>
        <v>29.226932999999988</v>
      </c>
      <c r="U511" s="311">
        <f t="shared" ca="1" si="205"/>
        <v>0</v>
      </c>
      <c r="V511" s="306">
        <f t="shared" ca="1" si="206"/>
        <v>1.225074673504345</v>
      </c>
      <c r="W511" s="304">
        <f t="shared" ca="1" si="207"/>
        <v>27.441144569353476</v>
      </c>
      <c r="Y511" s="314" t="str">
        <f t="shared" ca="1" si="225"/>
        <v/>
      </c>
      <c r="Z511" s="315" t="str">
        <f t="shared" ca="1" si="226"/>
        <v/>
      </c>
      <c r="AA511" s="316" t="str">
        <f t="shared" ca="1" si="227"/>
        <v/>
      </c>
      <c r="AC511" s="310">
        <f t="shared" ca="1" si="228"/>
        <v>37.00030000000023</v>
      </c>
      <c r="AD511" s="323">
        <f t="shared" ca="1" si="229"/>
        <v>839.7136314269211</v>
      </c>
      <c r="AE511" s="324" t="e">
        <f t="shared" ca="1" si="208"/>
        <v>#N/A</v>
      </c>
      <c r="AG511" s="306">
        <f t="shared" ca="1" si="230"/>
        <v>0.57472704809578445</v>
      </c>
      <c r="AH511" s="304">
        <f t="shared" ca="1" si="231"/>
        <v>-9.2105816073723652</v>
      </c>
    </row>
    <row r="512" spans="1:34" x14ac:dyDescent="0.2">
      <c r="A512" s="347">
        <f t="shared" ca="1" si="209"/>
        <v>1E-4</v>
      </c>
      <c r="B512" s="304">
        <f t="shared" ca="1" si="210"/>
        <v>37.000400000000234</v>
      </c>
      <c r="D512" s="306">
        <f t="shared" ca="1" si="211"/>
        <v>-0.65307542031689292</v>
      </c>
      <c r="E512" s="307">
        <f t="shared" ca="1" si="212"/>
        <v>-0.62258091073427835</v>
      </c>
      <c r="F512" s="304">
        <f t="shared" ca="1" si="213"/>
        <v>0.90228293513332603</v>
      </c>
      <c r="G512" s="306">
        <f t="shared" ca="1" si="214"/>
        <v>7.4157473313742406</v>
      </c>
      <c r="H512" s="307">
        <f t="shared" ca="1" si="215"/>
        <v>-104.3251929882254</v>
      </c>
      <c r="I512" s="304">
        <f t="shared" ca="1" si="216"/>
        <v>104.58842766058422</v>
      </c>
      <c r="J512" s="306">
        <f t="shared" ca="1" si="217"/>
        <v>839.7136314269211</v>
      </c>
      <c r="K512" s="307">
        <f t="shared" ca="1" si="218"/>
        <v>-0.61999356469280564</v>
      </c>
      <c r="L512" s="304">
        <f t="shared" ca="1" si="203"/>
        <v>839.71386030969347</v>
      </c>
      <c r="M512" s="306">
        <f t="shared" ca="1" si="219"/>
        <v>-1.4998326911493831</v>
      </c>
      <c r="N512" s="304">
        <f t="shared" ca="1" si="220"/>
        <v>-85.934083178607949</v>
      </c>
      <c r="P512" s="310">
        <f t="shared" ca="1" si="221"/>
        <v>23</v>
      </c>
      <c r="Q512" s="304">
        <f t="shared" ca="1" si="222"/>
        <v>0</v>
      </c>
      <c r="R512" s="306">
        <f t="shared" ca="1" si="223"/>
        <v>0</v>
      </c>
      <c r="S512" s="307">
        <f t="shared" ca="1" si="224"/>
        <v>2.9792999999999985</v>
      </c>
      <c r="T512" s="304">
        <f t="shared" ca="1" si="204"/>
        <v>29.226932999999988</v>
      </c>
      <c r="U512" s="311">
        <f t="shared" ca="1" si="205"/>
        <v>0</v>
      </c>
      <c r="V512" s="306">
        <f t="shared" ca="1" si="206"/>
        <v>1.2250759515661491</v>
      </c>
      <c r="W512" s="304">
        <f t="shared" ca="1" si="207"/>
        <v>27.441203354977784</v>
      </c>
      <c r="Y512" s="314" t="str">
        <f t="shared" ca="1" si="225"/>
        <v/>
      </c>
      <c r="Z512" s="315" t="str">
        <f t="shared" ca="1" si="226"/>
        <v/>
      </c>
      <c r="AA512" s="316" t="str">
        <f t="shared" ca="1" si="227"/>
        <v/>
      </c>
      <c r="AC512" s="310">
        <f t="shared" ca="1" si="228"/>
        <v>37.000400000000234</v>
      </c>
      <c r="AD512" s="323">
        <f t="shared" ca="1" si="229"/>
        <v>839.7136314269211</v>
      </c>
      <c r="AE512" s="324" t="e">
        <f t="shared" ca="1" si="208"/>
        <v>#N/A</v>
      </c>
      <c r="AG512" s="306">
        <f t="shared" ca="1" si="230"/>
        <v>0.57470777905055925</v>
      </c>
      <c r="AH512" s="304">
        <f t="shared" ca="1" si="231"/>
        <v>-9.2106013390237607</v>
      </c>
    </row>
    <row r="513" spans="1:34" x14ac:dyDescent="0.2">
      <c r="A513" s="347">
        <f t="shared" ca="1" si="209"/>
        <v>1E-4</v>
      </c>
      <c r="B513" s="304">
        <f t="shared" ca="1" si="210"/>
        <v>37.000500000000237</v>
      </c>
      <c r="D513" s="306">
        <f t="shared" ca="1" si="211"/>
        <v>-0.65307070916697529</v>
      </c>
      <c r="E513" s="307">
        <f t="shared" ca="1" si="212"/>
        <v>-0.6225607947087255</v>
      </c>
      <c r="F513" s="304">
        <f t="shared" ca="1" si="213"/>
        <v>0.90226564507367557</v>
      </c>
      <c r="G513" s="306">
        <f t="shared" ca="1" si="214"/>
        <v>7.4156820243033241</v>
      </c>
      <c r="H513" s="307">
        <f t="shared" ca="1" si="215"/>
        <v>-104.32525524430487</v>
      </c>
      <c r="I513" s="304">
        <f t="shared" ca="1" si="216"/>
        <v>104.58848512945838</v>
      </c>
      <c r="J513" s="306">
        <f t="shared" ca="1" si="217"/>
        <v>839.7136314269211</v>
      </c>
      <c r="K513" s="307">
        <f t="shared" ca="1" si="218"/>
        <v>-0.63042608710443215</v>
      </c>
      <c r="L513" s="304">
        <f t="shared" ca="1" si="203"/>
        <v>839.71386807723877</v>
      </c>
      <c r="M513" s="306">
        <f t="shared" ca="1" si="219"/>
        <v>-1.4998333562026405</v>
      </c>
      <c r="N513" s="304">
        <f t="shared" ca="1" si="220"/>
        <v>-85.934121283352752</v>
      </c>
      <c r="P513" s="310">
        <f t="shared" ca="1" si="221"/>
        <v>23</v>
      </c>
      <c r="Q513" s="304">
        <f t="shared" ca="1" si="222"/>
        <v>0</v>
      </c>
      <c r="R513" s="306">
        <f t="shared" ca="1" si="223"/>
        <v>0</v>
      </c>
      <c r="S513" s="307">
        <f t="shared" ca="1" si="224"/>
        <v>2.9792999999999985</v>
      </c>
      <c r="T513" s="304">
        <f t="shared" ca="1" si="204"/>
        <v>29.226932999999988</v>
      </c>
      <c r="U513" s="311">
        <f t="shared" ca="1" si="205"/>
        <v>0</v>
      </c>
      <c r="V513" s="306">
        <f t="shared" ca="1" si="206"/>
        <v>1.2250772296300489</v>
      </c>
      <c r="W513" s="304">
        <f t="shared" ca="1" si="207"/>
        <v>27.44126213971742</v>
      </c>
      <c r="Y513" s="314" t="str">
        <f t="shared" ca="1" si="225"/>
        <v/>
      </c>
      <c r="Z513" s="315" t="str">
        <f t="shared" ca="1" si="226"/>
        <v/>
      </c>
      <c r="AA513" s="316" t="str">
        <f t="shared" ca="1" si="227"/>
        <v/>
      </c>
      <c r="AC513" s="310">
        <f t="shared" ca="1" si="228"/>
        <v>37.000500000000237</v>
      </c>
      <c r="AD513" s="323">
        <f t="shared" ca="1" si="229"/>
        <v>839.7136314269211</v>
      </c>
      <c r="AE513" s="324" t="e">
        <f t="shared" ca="1" si="208"/>
        <v>#N/A</v>
      </c>
      <c r="AG513" s="306">
        <f t="shared" ca="1" si="230"/>
        <v>0.57468851029337031</v>
      </c>
      <c r="AH513" s="304">
        <f t="shared" ca="1" si="231"/>
        <v>-9.2106210703782097</v>
      </c>
    </row>
    <row r="514" spans="1:34" x14ac:dyDescent="0.2">
      <c r="A514" s="347">
        <f t="shared" ca="1" si="209"/>
        <v>1E-4</v>
      </c>
      <c r="B514" s="304">
        <f t="shared" ca="1" si="210"/>
        <v>37.00060000000024</v>
      </c>
      <c r="D514" s="306">
        <f t="shared" ca="1" si="211"/>
        <v>-0.65306599803005705</v>
      </c>
      <c r="E514" s="307">
        <f t="shared" ca="1" si="212"/>
        <v>-0.62254067898587095</v>
      </c>
      <c r="F514" s="304">
        <f t="shared" ca="1" si="213"/>
        <v>0.90224835537405312</v>
      </c>
      <c r="G514" s="306">
        <f t="shared" ca="1" si="214"/>
        <v>7.4156167177035215</v>
      </c>
      <c r="H514" s="307">
        <f t="shared" ca="1" si="215"/>
        <v>-104.32531749837277</v>
      </c>
      <c r="I514" s="304">
        <f t="shared" ca="1" si="216"/>
        <v>104.58854259640569</v>
      </c>
      <c r="J514" s="306">
        <f t="shared" ca="1" si="217"/>
        <v>839.7136314269211</v>
      </c>
      <c r="K514" s="307">
        <f t="shared" ca="1" si="218"/>
        <v>-0.640858615741566</v>
      </c>
      <c r="L514" s="304">
        <f t="shared" ca="1" si="203"/>
        <v>839.71387597440139</v>
      </c>
      <c r="M514" s="306">
        <f t="shared" ca="1" si="219"/>
        <v>-1.49983402124931</v>
      </c>
      <c r="N514" s="304">
        <f t="shared" ca="1" si="220"/>
        <v>-85.934159387720086</v>
      </c>
      <c r="P514" s="310">
        <f t="shared" ca="1" si="221"/>
        <v>23</v>
      </c>
      <c r="Q514" s="304">
        <f t="shared" ca="1" si="222"/>
        <v>0</v>
      </c>
      <c r="R514" s="306">
        <f t="shared" ca="1" si="223"/>
        <v>0</v>
      </c>
      <c r="S514" s="307">
        <f t="shared" ca="1" si="224"/>
        <v>2.9792999999999985</v>
      </c>
      <c r="T514" s="304">
        <f t="shared" ca="1" si="204"/>
        <v>29.226932999999988</v>
      </c>
      <c r="U514" s="311">
        <f t="shared" ca="1" si="205"/>
        <v>0</v>
      </c>
      <c r="V514" s="306">
        <f t="shared" ca="1" si="206"/>
        <v>1.2250785076960451</v>
      </c>
      <c r="W514" s="304">
        <f t="shared" ca="1" si="207"/>
        <v>27.441320923572377</v>
      </c>
      <c r="Y514" s="314" t="str">
        <f t="shared" ca="1" si="225"/>
        <v/>
      </c>
      <c r="Z514" s="315" t="str">
        <f t="shared" ca="1" si="226"/>
        <v/>
      </c>
      <c r="AA514" s="316" t="str">
        <f t="shared" ca="1" si="227"/>
        <v/>
      </c>
      <c r="AC514" s="310">
        <f t="shared" ca="1" si="228"/>
        <v>37.00060000000024</v>
      </c>
      <c r="AD514" s="323">
        <f t="shared" ca="1" si="229"/>
        <v>839.7136314269211</v>
      </c>
      <c r="AE514" s="324" t="e">
        <f t="shared" ca="1" si="208"/>
        <v>#N/A</v>
      </c>
      <c r="AG514" s="306">
        <f t="shared" ca="1" si="230"/>
        <v>0.57466924182421231</v>
      </c>
      <c r="AH514" s="304">
        <f t="shared" ca="1" si="231"/>
        <v>-9.2106408014357175</v>
      </c>
    </row>
    <row r="515" spans="1:34" x14ac:dyDescent="0.2">
      <c r="A515" s="347">
        <f t="shared" ca="1" si="209"/>
        <v>1E-4</v>
      </c>
      <c r="B515" s="304">
        <f t="shared" ca="1" si="210"/>
        <v>37.000700000000244</v>
      </c>
      <c r="D515" s="306">
        <f t="shared" ca="1" si="211"/>
        <v>-0.65306128690614329</v>
      </c>
      <c r="E515" s="307">
        <f t="shared" ca="1" si="212"/>
        <v>-0.6225205635657165</v>
      </c>
      <c r="F515" s="304">
        <f t="shared" ca="1" si="213"/>
        <v>0.90223106603446401</v>
      </c>
      <c r="G515" s="306">
        <f t="shared" ca="1" si="214"/>
        <v>7.4155514115748309</v>
      </c>
      <c r="H515" s="307">
        <f t="shared" ca="1" si="215"/>
        <v>-104.32537975042912</v>
      </c>
      <c r="I515" s="304">
        <f t="shared" ca="1" si="216"/>
        <v>104.58860006142618</v>
      </c>
      <c r="J515" s="306">
        <f t="shared" ca="1" si="217"/>
        <v>839.7136314269211</v>
      </c>
      <c r="K515" s="307">
        <f t="shared" ca="1" si="218"/>
        <v>-0.65129115060400611</v>
      </c>
      <c r="L515" s="304">
        <f t="shared" ca="1" si="203"/>
        <v>839.71388400118167</v>
      </c>
      <c r="M515" s="306">
        <f t="shared" ca="1" si="219"/>
        <v>-1.4998346862893919</v>
      </c>
      <c r="N515" s="304">
        <f t="shared" ca="1" si="220"/>
        <v>-85.934197491709995</v>
      </c>
      <c r="P515" s="310">
        <f t="shared" ca="1" si="221"/>
        <v>23</v>
      </c>
      <c r="Q515" s="304">
        <f t="shared" ca="1" si="222"/>
        <v>0</v>
      </c>
      <c r="R515" s="306">
        <f t="shared" ca="1" si="223"/>
        <v>0</v>
      </c>
      <c r="S515" s="307">
        <f t="shared" ca="1" si="224"/>
        <v>2.9792999999999985</v>
      </c>
      <c r="T515" s="304">
        <f t="shared" ca="1" si="204"/>
        <v>29.226932999999988</v>
      </c>
      <c r="U515" s="311">
        <f t="shared" ca="1" si="205"/>
        <v>0</v>
      </c>
      <c r="V515" s="306">
        <f t="shared" ca="1" si="206"/>
        <v>1.2250797857641371</v>
      </c>
      <c r="W515" s="304">
        <f t="shared" ca="1" si="207"/>
        <v>27.44137970654268</v>
      </c>
      <c r="Y515" s="314" t="str">
        <f t="shared" ca="1" si="225"/>
        <v/>
      </c>
      <c r="Z515" s="315" t="str">
        <f t="shared" ca="1" si="226"/>
        <v/>
      </c>
      <c r="AA515" s="316" t="str">
        <f t="shared" ca="1" si="227"/>
        <v/>
      </c>
      <c r="AC515" s="310">
        <f t="shared" ca="1" si="228"/>
        <v>37.000700000000244</v>
      </c>
      <c r="AD515" s="323">
        <f t="shared" ca="1" si="229"/>
        <v>839.7136314269211</v>
      </c>
      <c r="AE515" s="324" t="e">
        <f t="shared" ca="1" si="208"/>
        <v>#N/A</v>
      </c>
      <c r="AG515" s="306">
        <f t="shared" ca="1" si="230"/>
        <v>0.57464997364308523</v>
      </c>
      <c r="AH515" s="304">
        <f t="shared" ca="1" si="231"/>
        <v>-9.2106605321962842</v>
      </c>
    </row>
    <row r="516" spans="1:34" x14ac:dyDescent="0.2">
      <c r="A516" s="347">
        <f t="shared" ca="1" si="209"/>
        <v>1E-4</v>
      </c>
      <c r="B516" s="304">
        <f t="shared" ca="1" si="210"/>
        <v>37.000800000000247</v>
      </c>
      <c r="D516" s="306">
        <f t="shared" ca="1" si="211"/>
        <v>-0.65305657579523357</v>
      </c>
      <c r="E516" s="307">
        <f t="shared" ca="1" si="212"/>
        <v>-0.62250044844825148</v>
      </c>
      <c r="F516" s="304">
        <f t="shared" ca="1" si="213"/>
        <v>0.90221377705490058</v>
      </c>
      <c r="G516" s="306">
        <f t="shared" ca="1" si="214"/>
        <v>7.4154861059172514</v>
      </c>
      <c r="H516" s="307">
        <f t="shared" ca="1" si="215"/>
        <v>-104.32544200047397</v>
      </c>
      <c r="I516" s="304">
        <f t="shared" ca="1" si="216"/>
        <v>104.58865752451989</v>
      </c>
      <c r="J516" s="306">
        <f t="shared" ca="1" si="217"/>
        <v>839.7136314269211</v>
      </c>
      <c r="K516" s="307">
        <f t="shared" ca="1" si="218"/>
        <v>-0.66172369169155121</v>
      </c>
      <c r="L516" s="304">
        <f t="shared" ref="L516:L579" ca="1" si="232">SQRT(pos_x^2+pos_z^2)</f>
        <v>839.71389215757961</v>
      </c>
      <c r="M516" s="306">
        <f t="shared" ca="1" si="219"/>
        <v>-1.4998353513228861</v>
      </c>
      <c r="N516" s="304">
        <f t="shared" ca="1" si="220"/>
        <v>-85.934235595322448</v>
      </c>
      <c r="P516" s="310">
        <f t="shared" ca="1" si="221"/>
        <v>23</v>
      </c>
      <c r="Q516" s="304">
        <f t="shared" ca="1" si="222"/>
        <v>0</v>
      </c>
      <c r="R516" s="306">
        <f t="shared" ca="1" si="223"/>
        <v>0</v>
      </c>
      <c r="S516" s="307">
        <f t="shared" ca="1" si="224"/>
        <v>2.9792999999999985</v>
      </c>
      <c r="T516" s="304">
        <f t="shared" ref="T516:T579" ca="1" si="233">m*g</f>
        <v>29.226932999999988</v>
      </c>
      <c r="U516" s="311">
        <f t="shared" ref="U516:U579" ca="1" si="234">IF(pos_xz&lt;L_rampe,Poids*COS(Beta),0)</f>
        <v>0</v>
      </c>
      <c r="V516" s="306">
        <f t="shared" ref="V516:V579" ca="1" si="235">Rho_moyen*(20000-Alt_rampe-pos_z)/(20000+Alt_rampe+pos_z)</f>
        <v>1.2250810638343252</v>
      </c>
      <c r="W516" s="304">
        <f t="shared" ref="W516:W579" ca="1" si="236">1/2*Rho*Sref*Cx*vit_xz^2</f>
        <v>27.441438488628343</v>
      </c>
      <c r="Y516" s="314" t="str">
        <f t="shared" ca="1" si="225"/>
        <v/>
      </c>
      <c r="Z516" s="315" t="str">
        <f t="shared" ca="1" si="226"/>
        <v/>
      </c>
      <c r="AA516" s="316" t="str">
        <f t="shared" ca="1" si="227"/>
        <v/>
      </c>
      <c r="AC516" s="310">
        <f t="shared" ca="1" si="228"/>
        <v>37.000800000000247</v>
      </c>
      <c r="AD516" s="323">
        <f t="shared" ca="1" si="229"/>
        <v>839.7136314269211</v>
      </c>
      <c r="AE516" s="324" t="e">
        <f t="shared" ref="AE516:AE579" ca="1" si="237">IF(t&lt;T_para, pos_z, NA())</f>
        <v>#N/A</v>
      </c>
      <c r="AG516" s="306">
        <f t="shared" ca="1" si="230"/>
        <v>0.57463070574997843</v>
      </c>
      <c r="AH516" s="304">
        <f t="shared" ca="1" si="231"/>
        <v>-9.2106802626599187</v>
      </c>
    </row>
    <row r="517" spans="1:34" x14ac:dyDescent="0.2">
      <c r="A517" s="347">
        <f t="shared" ref="A517:A580" ca="1" si="238">IF(B516+0.01&lt;=T_ini+ROUNDUP(Temps_fin_propu,0), 0.01, IF(K516&gt;0, 0.1, 0.0001))</f>
        <v>1E-4</v>
      </c>
      <c r="B517" s="304">
        <f t="shared" ref="B517:B580" ca="1" si="239">B516+pas</f>
        <v>37.00090000000025</v>
      </c>
      <c r="D517" s="306">
        <f t="shared" ref="D517:D580" ca="1" si="240">IF(AND(L516&lt;L_rampe,Poussee&lt;Poids*SIN(M516)),0,(-W516+Poussee)/m*COS(M516)-U516/m*SIN(M516))</f>
        <v>-0.65305186469732912</v>
      </c>
      <c r="E517" s="307">
        <f t="shared" ref="E517:E580" ca="1" si="241">IF(AND(L516&lt;L_rampe,Poussee&lt;Poids*SIN(M516)),0,(-W516+Poussee)/m*SIN(M516)+U516/m*COS(M516)-Poids/m)</f>
        <v>-0.6224803336334741</v>
      </c>
      <c r="F517" s="304">
        <f t="shared" ref="F517:F580" ca="1" si="242">SQRT(acc_x^2+acc_z^2)</f>
        <v>0.90219648843536293</v>
      </c>
      <c r="G517" s="306">
        <f t="shared" ref="G517:G580" ca="1" si="243">G516+acc_x*pas</f>
        <v>7.4154208007307814</v>
      </c>
      <c r="H517" s="307">
        <f t="shared" ref="H517:H580" ca="1" si="244">H516+acc_z*pas</f>
        <v>-104.32550424850733</v>
      </c>
      <c r="I517" s="304">
        <f t="shared" ref="I517:I580" ca="1" si="245">SQRT(vit_x^2+vit_z^2)</f>
        <v>104.58871498568683</v>
      </c>
      <c r="J517" s="306">
        <f t="shared" ref="J517:J580" ca="1" si="246">J516+0.5*(vit_x+G516)*pas*(K516&gt;=0)</f>
        <v>839.7136314269211</v>
      </c>
      <c r="K517" s="307">
        <f t="shared" ref="K517:K580" ca="1" si="247">K516+0.5*(vit_z+H516)*pas</f>
        <v>-0.67215623900400023</v>
      </c>
      <c r="L517" s="304">
        <f t="shared" ca="1" si="232"/>
        <v>839.71390044359555</v>
      </c>
      <c r="M517" s="306">
        <f t="shared" ref="M517:M580" ca="1" si="248">IF(AND(L516&gt;L_rampe,G517&gt;0),ATAN2(G517,H517),$M$4)</f>
        <v>-1.4998360163497932</v>
      </c>
      <c r="N517" s="304">
        <f t="shared" ref="N517:N580" ca="1" si="249">DEGREES(Beta)</f>
        <v>-85.93427369855749</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2.9792999999999985</v>
      </c>
      <c r="T517" s="304">
        <f t="shared" ca="1" si="233"/>
        <v>29.226932999999988</v>
      </c>
      <c r="U517" s="311">
        <f t="shared" ca="1" si="234"/>
        <v>0</v>
      </c>
      <c r="V517" s="306">
        <f t="shared" ca="1" si="235"/>
        <v>1.2250823419066095</v>
      </c>
      <c r="W517" s="304">
        <f t="shared" ca="1" si="236"/>
        <v>27.441497269829373</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f t="shared" ref="AC517:AC580" ca="1" si="257">IF(ABS(t-ROUND(t,0))&lt;0.001,t,NA())</f>
        <v>37.00090000000025</v>
      </c>
      <c r="AD517" s="323">
        <f t="shared" ref="AD517:AD580" ca="1" si="258">IF(ABS(t-ROUND(t,0))&lt;0.001,pos_x,NA())</f>
        <v>839.7136314269211</v>
      </c>
      <c r="AE517" s="324" t="e">
        <f t="shared" ca="1" si="237"/>
        <v>#N/A</v>
      </c>
      <c r="AG517" s="306">
        <f t="shared" ref="AG517:AG580" ca="1" si="259">IF(AND(L516&lt;L_rampe,Poussee&lt;Poids*SIN(M516)),0,(-W516+Poussee)/m-Poids*SIN(M516)/m)</f>
        <v>0.57461143814489546</v>
      </c>
      <c r="AH517" s="304">
        <f t="shared" ref="AH517:AH580" ca="1" si="260">IF(AND(L516&lt;L_rampe,Poussee&lt;Poids*SIN(M516)), g*SIN(M516), (-W516+Poussee)/m)</f>
        <v>-9.2106999928266227</v>
      </c>
    </row>
    <row r="518" spans="1:34" x14ac:dyDescent="0.2">
      <c r="A518" s="347">
        <f t="shared" ca="1" si="238"/>
        <v>1E-4</v>
      </c>
      <c r="B518" s="304">
        <f t="shared" ca="1" si="239"/>
        <v>37.001000000000253</v>
      </c>
      <c r="D518" s="306">
        <f t="shared" ca="1" si="240"/>
        <v>-0.65304715361242704</v>
      </c>
      <c r="E518" s="307">
        <f t="shared" ca="1" si="241"/>
        <v>-0.62246021912137905</v>
      </c>
      <c r="F518" s="304">
        <f t="shared" ca="1" si="242"/>
        <v>0.90217920017584541</v>
      </c>
      <c r="G518" s="306">
        <f t="shared" ca="1" si="243"/>
        <v>7.4153554960154198</v>
      </c>
      <c r="H518" s="307">
        <f t="shared" ca="1" si="244"/>
        <v>-104.32556649452924</v>
      </c>
      <c r="I518" s="304">
        <f t="shared" ca="1" si="245"/>
        <v>104.58877244492703</v>
      </c>
      <c r="J518" s="306">
        <f t="shared" ca="1" si="246"/>
        <v>839.7136314269211</v>
      </c>
      <c r="K518" s="307">
        <f t="shared" ca="1" si="247"/>
        <v>-0.68258879254115201</v>
      </c>
      <c r="L518" s="304">
        <f t="shared" ca="1" si="232"/>
        <v>839.71390885922972</v>
      </c>
      <c r="M518" s="306">
        <f t="shared" ca="1" si="248"/>
        <v>-1.4998366813701129</v>
      </c>
      <c r="N518" s="304">
        <f t="shared" ca="1" si="249"/>
        <v>-85.934311801415092</v>
      </c>
      <c r="P518" s="310">
        <f t="shared" ca="1" si="250"/>
        <v>23</v>
      </c>
      <c r="Q518" s="304">
        <f t="shared" ca="1" si="251"/>
        <v>0</v>
      </c>
      <c r="R518" s="306">
        <f t="shared" ca="1" si="252"/>
        <v>0</v>
      </c>
      <c r="S518" s="307">
        <f t="shared" ca="1" si="253"/>
        <v>2.9792999999999985</v>
      </c>
      <c r="T518" s="304">
        <f t="shared" ca="1" si="233"/>
        <v>29.226932999999988</v>
      </c>
      <c r="U518" s="311">
        <f t="shared" ca="1" si="234"/>
        <v>0</v>
      </c>
      <c r="V518" s="306">
        <f t="shared" ca="1" si="235"/>
        <v>1.2250836199809894</v>
      </c>
      <c r="W518" s="304">
        <f t="shared" ca="1" si="236"/>
        <v>27.441556050145767</v>
      </c>
      <c r="Y518" s="314" t="str">
        <f t="shared" ca="1" si="254"/>
        <v/>
      </c>
      <c r="Z518" s="315" t="str">
        <f t="shared" ca="1" si="255"/>
        <v/>
      </c>
      <c r="AA518" s="316" t="str">
        <f t="shared" ca="1" si="256"/>
        <v/>
      </c>
      <c r="AC518" s="310" t="e">
        <f t="shared" ca="1" si="257"/>
        <v>#N/A</v>
      </c>
      <c r="AD518" s="323" t="e">
        <f t="shared" ca="1" si="258"/>
        <v>#N/A</v>
      </c>
      <c r="AE518" s="324" t="e">
        <f t="shared" ca="1" si="237"/>
        <v>#N/A</v>
      </c>
      <c r="AG518" s="306">
        <f t="shared" ca="1" si="259"/>
        <v>0.57459217082782743</v>
      </c>
      <c r="AH518" s="304">
        <f t="shared" ca="1" si="260"/>
        <v>-9.2107197226964015</v>
      </c>
    </row>
    <row r="519" spans="1:34" x14ac:dyDescent="0.2">
      <c r="A519" s="347">
        <f t="shared" ca="1" si="238"/>
        <v>1E-4</v>
      </c>
      <c r="B519" s="304">
        <f t="shared" ca="1" si="239"/>
        <v>37.001100000000257</v>
      </c>
      <c r="D519" s="306">
        <f t="shared" ca="1" si="240"/>
        <v>-0.65304244254053034</v>
      </c>
      <c r="E519" s="307">
        <f t="shared" ca="1" si="241"/>
        <v>-0.62244010491196988</v>
      </c>
      <c r="F519" s="304">
        <f t="shared" ca="1" si="242"/>
        <v>0.90216191227635301</v>
      </c>
      <c r="G519" s="306">
        <f t="shared" ca="1" si="243"/>
        <v>7.4152901917711658</v>
      </c>
      <c r="H519" s="307">
        <f t="shared" ca="1" si="244"/>
        <v>-104.32562873853973</v>
      </c>
      <c r="I519" s="304">
        <f t="shared" ca="1" si="245"/>
        <v>104.58882990224055</v>
      </c>
      <c r="J519" s="306">
        <f t="shared" ca="1" si="246"/>
        <v>839.7136314269211</v>
      </c>
      <c r="K519" s="307">
        <f t="shared" ca="1" si="247"/>
        <v>-0.69302135230280548</v>
      </c>
      <c r="L519" s="304">
        <f t="shared" ca="1" si="232"/>
        <v>839.71391740448234</v>
      </c>
      <c r="M519" s="306">
        <f t="shared" ca="1" si="248"/>
        <v>-1.4998373463838455</v>
      </c>
      <c r="N519" s="304">
        <f t="shared" ca="1" si="249"/>
        <v>-85.934349903895296</v>
      </c>
      <c r="P519" s="310">
        <f t="shared" ca="1" si="250"/>
        <v>23</v>
      </c>
      <c r="Q519" s="304">
        <f t="shared" ca="1" si="251"/>
        <v>0</v>
      </c>
      <c r="R519" s="306">
        <f t="shared" ca="1" si="252"/>
        <v>0</v>
      </c>
      <c r="S519" s="307">
        <f t="shared" ca="1" si="253"/>
        <v>2.9792999999999985</v>
      </c>
      <c r="T519" s="304">
        <f t="shared" ca="1" si="233"/>
        <v>29.226932999999988</v>
      </c>
      <c r="U519" s="311">
        <f t="shared" ca="1" si="234"/>
        <v>0</v>
      </c>
      <c r="V519" s="306">
        <f t="shared" ca="1" si="235"/>
        <v>1.2250848980574653</v>
      </c>
      <c r="W519" s="304">
        <f t="shared" ca="1" si="236"/>
        <v>27.441614829577546</v>
      </c>
      <c r="Y519" s="314" t="str">
        <f t="shared" ca="1" si="254"/>
        <v/>
      </c>
      <c r="Z519" s="315" t="str">
        <f t="shared" ca="1" si="255"/>
        <v/>
      </c>
      <c r="AA519" s="316" t="str">
        <f t="shared" ca="1" si="256"/>
        <v/>
      </c>
      <c r="AC519" s="310" t="e">
        <f t="shared" ca="1" si="257"/>
        <v>#N/A</v>
      </c>
      <c r="AD519" s="323" t="e">
        <f t="shared" ca="1" si="258"/>
        <v>#N/A</v>
      </c>
      <c r="AE519" s="324" t="e">
        <f t="shared" ca="1" si="237"/>
        <v>#N/A</v>
      </c>
      <c r="AG519" s="306">
        <f t="shared" ca="1" si="259"/>
        <v>0.5745729037987779</v>
      </c>
      <c r="AH519" s="304">
        <f t="shared" ca="1" si="260"/>
        <v>-9.2107394522692516</v>
      </c>
    </row>
    <row r="520" spans="1:34" x14ac:dyDescent="0.2">
      <c r="A520" s="347">
        <f t="shared" ca="1" si="238"/>
        <v>1E-4</v>
      </c>
      <c r="B520" s="304">
        <f t="shared" ca="1" si="239"/>
        <v>37.00120000000026</v>
      </c>
      <c r="D520" s="306">
        <f t="shared" ca="1" si="240"/>
        <v>-0.65303773148163846</v>
      </c>
      <c r="E520" s="307">
        <f t="shared" ca="1" si="241"/>
        <v>-0.62241999100523948</v>
      </c>
      <c r="F520" s="304">
        <f t="shared" ca="1" si="242"/>
        <v>0.90214462473688051</v>
      </c>
      <c r="G520" s="306">
        <f t="shared" ca="1" si="243"/>
        <v>7.4152248879980176</v>
      </c>
      <c r="H520" s="307">
        <f t="shared" ca="1" si="244"/>
        <v>-104.32569098053884</v>
      </c>
      <c r="I520" s="304">
        <f t="shared" ca="1" si="245"/>
        <v>104.58888735762737</v>
      </c>
      <c r="J520" s="306">
        <f t="shared" ca="1" si="246"/>
        <v>839.7136314269211</v>
      </c>
      <c r="K520" s="307">
        <f t="shared" ca="1" si="247"/>
        <v>-0.70345391828875936</v>
      </c>
      <c r="L520" s="304">
        <f t="shared" ca="1" si="232"/>
        <v>839.71392607935366</v>
      </c>
      <c r="M520" s="306">
        <f t="shared" ca="1" si="248"/>
        <v>-1.4998380113909906</v>
      </c>
      <c r="N520" s="304">
        <f t="shared" ca="1" si="249"/>
        <v>-85.934388005998045</v>
      </c>
      <c r="P520" s="310">
        <f t="shared" ca="1" si="250"/>
        <v>23</v>
      </c>
      <c r="Q520" s="304">
        <f t="shared" ca="1" si="251"/>
        <v>0</v>
      </c>
      <c r="R520" s="306">
        <f t="shared" ca="1" si="252"/>
        <v>0</v>
      </c>
      <c r="S520" s="307">
        <f t="shared" ca="1" si="253"/>
        <v>2.9792999999999985</v>
      </c>
      <c r="T520" s="304">
        <f t="shared" ca="1" si="233"/>
        <v>29.226932999999988</v>
      </c>
      <c r="U520" s="311">
        <f t="shared" ca="1" si="234"/>
        <v>0</v>
      </c>
      <c r="V520" s="306">
        <f t="shared" ca="1" si="235"/>
        <v>1.2250861761360377</v>
      </c>
      <c r="W520" s="304">
        <f t="shared" ca="1" si="236"/>
        <v>27.441673608124727</v>
      </c>
      <c r="Y520" s="314" t="str">
        <f t="shared" ca="1" si="254"/>
        <v/>
      </c>
      <c r="Z520" s="315" t="str">
        <f t="shared" ca="1" si="255"/>
        <v/>
      </c>
      <c r="AA520" s="316" t="str">
        <f t="shared" ca="1" si="256"/>
        <v/>
      </c>
      <c r="AC520" s="310" t="e">
        <f t="shared" ca="1" si="257"/>
        <v>#N/A</v>
      </c>
      <c r="AD520" s="323" t="e">
        <f t="shared" ca="1" si="258"/>
        <v>#N/A</v>
      </c>
      <c r="AE520" s="324" t="e">
        <f t="shared" ca="1" si="237"/>
        <v>#N/A</v>
      </c>
      <c r="AG520" s="306">
        <f t="shared" ca="1" si="259"/>
        <v>0.57455363705773976</v>
      </c>
      <c r="AH520" s="304">
        <f t="shared" ca="1" si="260"/>
        <v>-9.2107591815451819</v>
      </c>
    </row>
    <row r="521" spans="1:34" x14ac:dyDescent="0.2">
      <c r="A521" s="347">
        <f t="shared" ca="1" si="238"/>
        <v>1E-4</v>
      </c>
      <c r="B521" s="304">
        <f t="shared" ca="1" si="239"/>
        <v>37.001300000000263</v>
      </c>
      <c r="D521" s="306">
        <f t="shared" ca="1" si="240"/>
        <v>-0.65303302043575484</v>
      </c>
      <c r="E521" s="307">
        <f t="shared" ca="1" si="241"/>
        <v>-0.62239987740117897</v>
      </c>
      <c r="F521" s="304">
        <f t="shared" ca="1" si="242"/>
        <v>0.90212733755742469</v>
      </c>
      <c r="G521" s="306">
        <f t="shared" ca="1" si="243"/>
        <v>7.4151595846959744</v>
      </c>
      <c r="H521" s="307">
        <f t="shared" ca="1" si="244"/>
        <v>-104.32575322052658</v>
      </c>
      <c r="I521" s="304">
        <f t="shared" ca="1" si="245"/>
        <v>104.58894481108757</v>
      </c>
      <c r="J521" s="306">
        <f t="shared" ca="1" si="246"/>
        <v>839.7136314269211</v>
      </c>
      <c r="K521" s="307">
        <f t="shared" ca="1" si="247"/>
        <v>-0.71388649049881259</v>
      </c>
      <c r="L521" s="304">
        <f t="shared" ca="1" si="232"/>
        <v>839.71393488384388</v>
      </c>
      <c r="M521" s="306">
        <f t="shared" ca="1" si="248"/>
        <v>-1.4998386763915488</v>
      </c>
      <c r="N521" s="304">
        <f t="shared" ca="1" si="249"/>
        <v>-85.934426107723411</v>
      </c>
      <c r="P521" s="310">
        <f t="shared" ca="1" si="250"/>
        <v>23</v>
      </c>
      <c r="Q521" s="304">
        <f t="shared" ca="1" si="251"/>
        <v>0</v>
      </c>
      <c r="R521" s="306">
        <f t="shared" ca="1" si="252"/>
        <v>0</v>
      </c>
      <c r="S521" s="307">
        <f t="shared" ca="1" si="253"/>
        <v>2.9792999999999985</v>
      </c>
      <c r="T521" s="304">
        <f t="shared" ca="1" si="233"/>
        <v>29.226932999999988</v>
      </c>
      <c r="U521" s="311">
        <f t="shared" ca="1" si="234"/>
        <v>0</v>
      </c>
      <c r="V521" s="306">
        <f t="shared" ca="1" si="235"/>
        <v>1.2250874542167054</v>
      </c>
      <c r="W521" s="304">
        <f t="shared" ca="1" si="236"/>
        <v>27.441732385787308</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0.57453437060470591</v>
      </c>
      <c r="AH521" s="304">
        <f t="shared" ca="1" si="260"/>
        <v>-9.2107789105241977</v>
      </c>
    </row>
    <row r="522" spans="1:34" x14ac:dyDescent="0.2">
      <c r="A522" s="347">
        <f t="shared" ca="1" si="238"/>
        <v>1E-4</v>
      </c>
      <c r="B522" s="304">
        <f t="shared" ca="1" si="239"/>
        <v>37.001400000000267</v>
      </c>
      <c r="D522" s="306">
        <f t="shared" ca="1" si="240"/>
        <v>-0.65302830940287626</v>
      </c>
      <c r="E522" s="307">
        <f t="shared" ca="1" si="241"/>
        <v>-0.6223797640997919</v>
      </c>
      <c r="F522" s="304">
        <f t="shared" ca="1" si="242"/>
        <v>0.90211005073798589</v>
      </c>
      <c r="G522" s="306">
        <f t="shared" ca="1" si="243"/>
        <v>7.4150942818650343</v>
      </c>
      <c r="H522" s="307">
        <f t="shared" ca="1" si="244"/>
        <v>-104.32581545850299</v>
      </c>
      <c r="I522" s="304">
        <f t="shared" ca="1" si="245"/>
        <v>104.58900226262114</v>
      </c>
      <c r="J522" s="306">
        <f t="shared" ca="1" si="246"/>
        <v>839.7136314269211</v>
      </c>
      <c r="K522" s="307">
        <f t="shared" ca="1" si="247"/>
        <v>-0.7243190689327641</v>
      </c>
      <c r="L522" s="304">
        <f t="shared" ca="1" si="232"/>
        <v>839.71394381795324</v>
      </c>
      <c r="M522" s="306">
        <f t="shared" ca="1" si="248"/>
        <v>-1.49983934138552</v>
      </c>
      <c r="N522" s="304">
        <f t="shared" ca="1" si="249"/>
        <v>-85.934464209071365</v>
      </c>
      <c r="P522" s="310">
        <f t="shared" ca="1" si="250"/>
        <v>23</v>
      </c>
      <c r="Q522" s="304">
        <f t="shared" ca="1" si="251"/>
        <v>0</v>
      </c>
      <c r="R522" s="306">
        <f t="shared" ca="1" si="252"/>
        <v>0</v>
      </c>
      <c r="S522" s="307">
        <f t="shared" ca="1" si="253"/>
        <v>2.9792999999999985</v>
      </c>
      <c r="T522" s="304">
        <f t="shared" ca="1" si="233"/>
        <v>29.226932999999988</v>
      </c>
      <c r="U522" s="311">
        <f t="shared" ca="1" si="234"/>
        <v>0</v>
      </c>
      <c r="V522" s="306">
        <f t="shared" ca="1" si="235"/>
        <v>1.2250887322994692</v>
      </c>
      <c r="W522" s="304">
        <f t="shared" ca="1" si="236"/>
        <v>27.441791162565302</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0.5745151044396799</v>
      </c>
      <c r="AH522" s="304">
        <f t="shared" ca="1" si="260"/>
        <v>-9.2107986392062973</v>
      </c>
    </row>
    <row r="523" spans="1:34" x14ac:dyDescent="0.2">
      <c r="A523" s="347">
        <f t="shared" ca="1" si="238"/>
        <v>1E-4</v>
      </c>
      <c r="B523" s="304">
        <f t="shared" ca="1" si="239"/>
        <v>37.00150000000027</v>
      </c>
      <c r="D523" s="306">
        <f t="shared" ca="1" si="240"/>
        <v>-0.65302359838300394</v>
      </c>
      <c r="E523" s="307">
        <f t="shared" ca="1" si="241"/>
        <v>-0.62235965110107472</v>
      </c>
      <c r="F523" s="304">
        <f t="shared" ca="1" si="242"/>
        <v>0.90209276427856255</v>
      </c>
      <c r="G523" s="306">
        <f t="shared" ca="1" si="243"/>
        <v>7.4150289795051956</v>
      </c>
      <c r="H523" s="307">
        <f t="shared" ca="1" si="244"/>
        <v>-104.32587769446809</v>
      </c>
      <c r="I523" s="304">
        <f t="shared" ca="1" si="245"/>
        <v>104.58905971222811</v>
      </c>
      <c r="J523" s="306">
        <f t="shared" ca="1" si="246"/>
        <v>839.7136314269211</v>
      </c>
      <c r="K523" s="307">
        <f t="shared" ca="1" si="247"/>
        <v>-0.73475165359041261</v>
      </c>
      <c r="L523" s="304">
        <f t="shared" ca="1" si="232"/>
        <v>839.71395288168196</v>
      </c>
      <c r="M523" s="306">
        <f t="shared" ca="1" si="248"/>
        <v>-1.4998400063729043</v>
      </c>
      <c r="N523" s="304">
        <f t="shared" ca="1" si="249"/>
        <v>-85.934502310041907</v>
      </c>
      <c r="P523" s="310">
        <f t="shared" ca="1" si="250"/>
        <v>23</v>
      </c>
      <c r="Q523" s="304">
        <f t="shared" ca="1" si="251"/>
        <v>0</v>
      </c>
      <c r="R523" s="306">
        <f t="shared" ca="1" si="252"/>
        <v>0</v>
      </c>
      <c r="S523" s="307">
        <f t="shared" ca="1" si="253"/>
        <v>2.9792999999999985</v>
      </c>
      <c r="T523" s="304">
        <f t="shared" ca="1" si="233"/>
        <v>29.226932999999988</v>
      </c>
      <c r="U523" s="311">
        <f t="shared" ca="1" si="234"/>
        <v>0</v>
      </c>
      <c r="V523" s="306">
        <f t="shared" ca="1" si="235"/>
        <v>1.2250900103843292</v>
      </c>
      <c r="W523" s="304">
        <f t="shared" ca="1" si="236"/>
        <v>27.44184993845872</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0.57449583856265818</v>
      </c>
      <c r="AH523" s="304">
        <f t="shared" ca="1" si="260"/>
        <v>-9.2108183675914859</v>
      </c>
    </row>
    <row r="524" spans="1:34" x14ac:dyDescent="0.2">
      <c r="A524" s="347">
        <f t="shared" ca="1" si="238"/>
        <v>1E-4</v>
      </c>
      <c r="B524" s="304">
        <f t="shared" ca="1" si="239"/>
        <v>37.001600000000273</v>
      </c>
      <c r="D524" s="306">
        <f t="shared" ca="1" si="240"/>
        <v>-0.65301888737613956</v>
      </c>
      <c r="E524" s="307">
        <f t="shared" ca="1" si="241"/>
        <v>-0.62233953840501677</v>
      </c>
      <c r="F524" s="304">
        <f t="shared" ca="1" si="242"/>
        <v>0.90207547817914913</v>
      </c>
      <c r="G524" s="306">
        <f t="shared" ca="1" si="243"/>
        <v>7.4149636776164582</v>
      </c>
      <c r="H524" s="307">
        <f t="shared" ca="1" si="244"/>
        <v>-104.32593992842193</v>
      </c>
      <c r="I524" s="304">
        <f t="shared" ca="1" si="245"/>
        <v>104.58911715990853</v>
      </c>
      <c r="J524" s="306">
        <f t="shared" ca="1" si="246"/>
        <v>839.7136314269211</v>
      </c>
      <c r="K524" s="307">
        <f t="shared" ca="1" si="247"/>
        <v>-0.74518424447155707</v>
      </c>
      <c r="L524" s="304">
        <f t="shared" ca="1" si="232"/>
        <v>839.71396207503028</v>
      </c>
      <c r="M524" s="306">
        <f t="shared" ca="1" si="248"/>
        <v>-1.4998406713537016</v>
      </c>
      <c r="N524" s="304">
        <f t="shared" ca="1" si="249"/>
        <v>-85.934540410635051</v>
      </c>
      <c r="P524" s="310">
        <f t="shared" ca="1" si="250"/>
        <v>23</v>
      </c>
      <c r="Q524" s="304">
        <f t="shared" ca="1" si="251"/>
        <v>0</v>
      </c>
      <c r="R524" s="306">
        <f t="shared" ca="1" si="252"/>
        <v>0</v>
      </c>
      <c r="S524" s="307">
        <f t="shared" ca="1" si="253"/>
        <v>2.9792999999999985</v>
      </c>
      <c r="T524" s="304">
        <f t="shared" ca="1" si="233"/>
        <v>29.226932999999988</v>
      </c>
      <c r="U524" s="311">
        <f t="shared" ca="1" si="234"/>
        <v>0</v>
      </c>
      <c r="V524" s="306">
        <f t="shared" ca="1" si="235"/>
        <v>1.2250912884712843</v>
      </c>
      <c r="W524" s="304">
        <f t="shared" ca="1" si="236"/>
        <v>27.441908713467559</v>
      </c>
      <c r="Y524" s="314" t="str">
        <f t="shared" ca="1" si="254"/>
        <v/>
      </c>
      <c r="Z524" s="315" t="str">
        <f t="shared" ca="1" si="255"/>
        <v/>
      </c>
      <c r="AA524" s="316" t="str">
        <f t="shared" ca="1" si="256"/>
        <v/>
      </c>
      <c r="AC524" s="310" t="e">
        <f t="shared" ca="1" si="257"/>
        <v>#N/A</v>
      </c>
      <c r="AD524" s="323" t="e">
        <f t="shared" ca="1" si="258"/>
        <v>#N/A</v>
      </c>
      <c r="AE524" s="324" t="e">
        <f t="shared" ca="1" si="237"/>
        <v>#N/A</v>
      </c>
      <c r="AG524" s="306">
        <f t="shared" ca="1" si="259"/>
        <v>0.57447657297363186</v>
      </c>
      <c r="AH524" s="304">
        <f t="shared" ca="1" si="260"/>
        <v>-9.2108380956797689</v>
      </c>
    </row>
    <row r="525" spans="1:34" x14ac:dyDescent="0.2">
      <c r="A525" s="347">
        <f t="shared" ca="1" si="238"/>
        <v>1E-4</v>
      </c>
      <c r="B525" s="304">
        <f t="shared" ca="1" si="239"/>
        <v>37.001700000000277</v>
      </c>
      <c r="D525" s="306">
        <f t="shared" ca="1" si="240"/>
        <v>-0.65301417638228354</v>
      </c>
      <c r="E525" s="307">
        <f t="shared" ca="1" si="241"/>
        <v>-0.62231942601162871</v>
      </c>
      <c r="F525" s="304">
        <f t="shared" ca="1" si="242"/>
        <v>0.90205819243975338</v>
      </c>
      <c r="G525" s="306">
        <f t="shared" ca="1" si="243"/>
        <v>7.4148983761988196</v>
      </c>
      <c r="H525" s="307">
        <f t="shared" ca="1" si="244"/>
        <v>-104.32600216036454</v>
      </c>
      <c r="I525" s="304">
        <f t="shared" ca="1" si="245"/>
        <v>104.58917460566242</v>
      </c>
      <c r="J525" s="306">
        <f t="shared" ca="1" si="246"/>
        <v>839.7136314269211</v>
      </c>
      <c r="K525" s="307">
        <f t="shared" ca="1" si="247"/>
        <v>-0.7556168415759964</v>
      </c>
      <c r="L525" s="304">
        <f t="shared" ca="1" si="232"/>
        <v>839.71397139799842</v>
      </c>
      <c r="M525" s="306">
        <f t="shared" ca="1" si="248"/>
        <v>-1.4998413363279122</v>
      </c>
      <c r="N525" s="304">
        <f t="shared" ca="1" si="249"/>
        <v>-85.934578510850798</v>
      </c>
      <c r="P525" s="310">
        <f t="shared" ca="1" si="250"/>
        <v>23</v>
      </c>
      <c r="Q525" s="304">
        <f t="shared" ca="1" si="251"/>
        <v>0</v>
      </c>
      <c r="R525" s="306">
        <f t="shared" ca="1" si="252"/>
        <v>0</v>
      </c>
      <c r="S525" s="307">
        <f t="shared" ca="1" si="253"/>
        <v>2.9792999999999985</v>
      </c>
      <c r="T525" s="304">
        <f t="shared" ca="1" si="233"/>
        <v>29.226932999999988</v>
      </c>
      <c r="U525" s="311">
        <f t="shared" ca="1" si="234"/>
        <v>0</v>
      </c>
      <c r="V525" s="306">
        <f t="shared" ca="1" si="235"/>
        <v>1.2250925665603358</v>
      </c>
      <c r="W525" s="304">
        <f t="shared" ca="1" si="236"/>
        <v>27.44196748759186</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0.57445730767260805</v>
      </c>
      <c r="AH525" s="304">
        <f t="shared" ca="1" si="260"/>
        <v>-9.2108578234711409</v>
      </c>
    </row>
    <row r="526" spans="1:34" x14ac:dyDescent="0.2">
      <c r="A526" s="347">
        <f t="shared" ca="1" si="238"/>
        <v>1E-4</v>
      </c>
      <c r="B526" s="304">
        <f t="shared" ca="1" si="239"/>
        <v>37.00180000000028</v>
      </c>
      <c r="D526" s="306">
        <f t="shared" ca="1" si="240"/>
        <v>-0.65300946540143612</v>
      </c>
      <c r="E526" s="307">
        <f t="shared" ca="1" si="241"/>
        <v>-0.62229931392088922</v>
      </c>
      <c r="F526" s="304">
        <f t="shared" ca="1" si="242"/>
        <v>0.902040907060361</v>
      </c>
      <c r="G526" s="306">
        <f t="shared" ca="1" si="243"/>
        <v>7.4148330752522797</v>
      </c>
      <c r="H526" s="307">
        <f t="shared" ca="1" si="244"/>
        <v>-104.32606439029593</v>
      </c>
      <c r="I526" s="304">
        <f t="shared" ca="1" si="245"/>
        <v>104.58923204948981</v>
      </c>
      <c r="J526" s="306">
        <f t="shared" ca="1" si="246"/>
        <v>839.7136314269211</v>
      </c>
      <c r="K526" s="307">
        <f t="shared" ca="1" si="247"/>
        <v>-0.76604944490352944</v>
      </c>
      <c r="L526" s="304">
        <f t="shared" ca="1" si="232"/>
        <v>839.71398085058649</v>
      </c>
      <c r="M526" s="306">
        <f t="shared" ca="1" si="248"/>
        <v>-1.499842001295536</v>
      </c>
      <c r="N526" s="304">
        <f t="shared" ca="1" si="249"/>
        <v>-85.934616610689162</v>
      </c>
      <c r="P526" s="310">
        <f t="shared" ca="1" si="250"/>
        <v>23</v>
      </c>
      <c r="Q526" s="304">
        <f t="shared" ca="1" si="251"/>
        <v>0</v>
      </c>
      <c r="R526" s="306">
        <f t="shared" ca="1" si="252"/>
        <v>0</v>
      </c>
      <c r="S526" s="307">
        <f t="shared" ca="1" si="253"/>
        <v>2.9792999999999985</v>
      </c>
      <c r="T526" s="304">
        <f t="shared" ca="1" si="233"/>
        <v>29.226932999999988</v>
      </c>
      <c r="U526" s="311">
        <f t="shared" ca="1" si="234"/>
        <v>0</v>
      </c>
      <c r="V526" s="306">
        <f t="shared" ca="1" si="235"/>
        <v>1.225093844651483</v>
      </c>
      <c r="W526" s="304">
        <f t="shared" ca="1" si="236"/>
        <v>27.442026260831607</v>
      </c>
      <c r="Y526" s="314" t="str">
        <f t="shared" ca="1" si="254"/>
        <v/>
      </c>
      <c r="Z526" s="315" t="str">
        <f t="shared" ca="1" si="255"/>
        <v/>
      </c>
      <c r="AA526" s="316" t="str">
        <f t="shared" ca="1" si="256"/>
        <v/>
      </c>
      <c r="AC526" s="310" t="e">
        <f t="shared" ca="1" si="257"/>
        <v>#N/A</v>
      </c>
      <c r="AD526" s="323" t="e">
        <f t="shared" ca="1" si="258"/>
        <v>#N/A</v>
      </c>
      <c r="AE526" s="324" t="e">
        <f t="shared" ca="1" si="237"/>
        <v>#N/A</v>
      </c>
      <c r="AG526" s="306">
        <f t="shared" ca="1" si="259"/>
        <v>0.57443804265956899</v>
      </c>
      <c r="AH526" s="304">
        <f t="shared" ca="1" si="260"/>
        <v>-9.2108775509656216</v>
      </c>
    </row>
    <row r="527" spans="1:34" x14ac:dyDescent="0.2">
      <c r="A527" s="347">
        <f t="shared" ca="1" si="238"/>
        <v>1E-4</v>
      </c>
      <c r="B527" s="304">
        <f t="shared" ca="1" si="239"/>
        <v>37.001900000000283</v>
      </c>
      <c r="D527" s="306">
        <f t="shared" ca="1" si="240"/>
        <v>-0.65300475443359784</v>
      </c>
      <c r="E527" s="307">
        <f t="shared" ca="1" si="241"/>
        <v>-0.62227920213280719</v>
      </c>
      <c r="F527" s="304">
        <f t="shared" ca="1" si="242"/>
        <v>0.90202362204097875</v>
      </c>
      <c r="G527" s="306">
        <f t="shared" ca="1" si="243"/>
        <v>7.4147677747768368</v>
      </c>
      <c r="H527" s="307">
        <f t="shared" ca="1" si="244"/>
        <v>-104.32612661821614</v>
      </c>
      <c r="I527" s="304">
        <f t="shared" ca="1" si="245"/>
        <v>104.58928949139073</v>
      </c>
      <c r="J527" s="306">
        <f t="shared" ca="1" si="246"/>
        <v>839.7136314269211</v>
      </c>
      <c r="K527" s="307">
        <f t="shared" ca="1" si="247"/>
        <v>-0.77648205445395502</v>
      </c>
      <c r="L527" s="304">
        <f t="shared" ca="1" si="232"/>
        <v>839.71399043279496</v>
      </c>
      <c r="M527" s="306">
        <f t="shared" ca="1" si="248"/>
        <v>-1.4998426662565734</v>
      </c>
      <c r="N527" s="304">
        <f t="shared" ca="1" si="249"/>
        <v>-85.934654710150141</v>
      </c>
      <c r="P527" s="310">
        <f t="shared" ca="1" si="250"/>
        <v>23</v>
      </c>
      <c r="Q527" s="304">
        <f t="shared" ca="1" si="251"/>
        <v>0</v>
      </c>
      <c r="R527" s="306">
        <f t="shared" ca="1" si="252"/>
        <v>0</v>
      </c>
      <c r="S527" s="307">
        <f t="shared" ca="1" si="253"/>
        <v>2.9792999999999985</v>
      </c>
      <c r="T527" s="304">
        <f t="shared" ca="1" si="233"/>
        <v>29.226932999999988</v>
      </c>
      <c r="U527" s="311">
        <f t="shared" ca="1" si="234"/>
        <v>0</v>
      </c>
      <c r="V527" s="306">
        <f t="shared" ca="1" si="235"/>
        <v>1.225095122744726</v>
      </c>
      <c r="W527" s="304">
        <f t="shared" ca="1" si="236"/>
        <v>27.442085033186824</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0.57441877793452178</v>
      </c>
      <c r="AH527" s="304">
        <f t="shared" ca="1" si="260"/>
        <v>-9.2108972781632001</v>
      </c>
    </row>
    <row r="528" spans="1:34" x14ac:dyDescent="0.2">
      <c r="A528" s="347">
        <f t="shared" ca="1" si="238"/>
        <v>1E-4</v>
      </c>
      <c r="B528" s="304">
        <f t="shared" ca="1" si="239"/>
        <v>37.002000000000287</v>
      </c>
      <c r="D528" s="306">
        <f t="shared" ca="1" si="240"/>
        <v>-0.65300004347876806</v>
      </c>
      <c r="E528" s="307">
        <f t="shared" ca="1" si="241"/>
        <v>-0.6222590906473755</v>
      </c>
      <c r="F528" s="304">
        <f t="shared" ca="1" si="242"/>
        <v>0.90200633738160163</v>
      </c>
      <c r="G528" s="306">
        <f t="shared" ca="1" si="243"/>
        <v>7.414702474772489</v>
      </c>
      <c r="H528" s="307">
        <f t="shared" ca="1" si="244"/>
        <v>-104.3261888441252</v>
      </c>
      <c r="I528" s="304">
        <f t="shared" ca="1" si="245"/>
        <v>104.5893469313652</v>
      </c>
      <c r="J528" s="306">
        <f t="shared" ca="1" si="246"/>
        <v>839.7136314269211</v>
      </c>
      <c r="K528" s="307">
        <f t="shared" ca="1" si="247"/>
        <v>-0.78691467022707207</v>
      </c>
      <c r="L528" s="304">
        <f t="shared" ca="1" si="232"/>
        <v>839.71400014462381</v>
      </c>
      <c r="M528" s="306">
        <f t="shared" ca="1" si="248"/>
        <v>-1.499843331211024</v>
      </c>
      <c r="N528" s="304">
        <f t="shared" ca="1" si="249"/>
        <v>-85.934692809233738</v>
      </c>
      <c r="P528" s="310">
        <f t="shared" ca="1" si="250"/>
        <v>23</v>
      </c>
      <c r="Q528" s="304">
        <f t="shared" ca="1" si="251"/>
        <v>0</v>
      </c>
      <c r="R528" s="306">
        <f t="shared" ca="1" si="252"/>
        <v>0</v>
      </c>
      <c r="S528" s="307">
        <f t="shared" ca="1" si="253"/>
        <v>2.9792999999999985</v>
      </c>
      <c r="T528" s="304">
        <f t="shared" ca="1" si="233"/>
        <v>29.226932999999988</v>
      </c>
      <c r="U528" s="311">
        <f t="shared" ca="1" si="234"/>
        <v>0</v>
      </c>
      <c r="V528" s="306">
        <f t="shared" ca="1" si="235"/>
        <v>1.2250964008400649</v>
      </c>
      <c r="W528" s="304">
        <f t="shared" ca="1" si="236"/>
        <v>27.442143804657515</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0.57439951349745932</v>
      </c>
      <c r="AH528" s="304">
        <f t="shared" ca="1" si="260"/>
        <v>-9.2109170050638873</v>
      </c>
    </row>
    <row r="529" spans="1:34" x14ac:dyDescent="0.2">
      <c r="A529" s="347">
        <f t="shared" ca="1" si="238"/>
        <v>1E-4</v>
      </c>
      <c r="B529" s="304">
        <f t="shared" ca="1" si="239"/>
        <v>37.00210000000029</v>
      </c>
      <c r="D529" s="306">
        <f t="shared" ca="1" si="240"/>
        <v>-0.65299533253695008</v>
      </c>
      <c r="E529" s="307">
        <f t="shared" ca="1" si="241"/>
        <v>-0.62223897946458884</v>
      </c>
      <c r="F529" s="304">
        <f t="shared" ca="1" si="242"/>
        <v>0.90198905308222843</v>
      </c>
      <c r="G529" s="306">
        <f t="shared" ca="1" si="243"/>
        <v>7.4146371752392355</v>
      </c>
      <c r="H529" s="307">
        <f t="shared" ca="1" si="244"/>
        <v>-104.32625106802314</v>
      </c>
      <c r="I529" s="304">
        <f t="shared" ca="1" si="245"/>
        <v>104.58940436941326</v>
      </c>
      <c r="J529" s="306">
        <f t="shared" ca="1" si="246"/>
        <v>839.7136314269211</v>
      </c>
      <c r="K529" s="307">
        <f t="shared" ca="1" si="247"/>
        <v>-0.79734729222267953</v>
      </c>
      <c r="L529" s="304">
        <f t="shared" ca="1" si="232"/>
        <v>839.71400998607351</v>
      </c>
      <c r="M529" s="306">
        <f t="shared" ca="1" si="248"/>
        <v>-1.4998439961588883</v>
      </c>
      <c r="N529" s="304">
        <f t="shared" ca="1" si="249"/>
        <v>-85.934730907939951</v>
      </c>
      <c r="P529" s="310">
        <f t="shared" ca="1" si="250"/>
        <v>23</v>
      </c>
      <c r="Q529" s="304">
        <f t="shared" ca="1" si="251"/>
        <v>0</v>
      </c>
      <c r="R529" s="306">
        <f t="shared" ca="1" si="252"/>
        <v>0</v>
      </c>
      <c r="S529" s="307">
        <f t="shared" ca="1" si="253"/>
        <v>2.9792999999999985</v>
      </c>
      <c r="T529" s="304">
        <f t="shared" ca="1" si="233"/>
        <v>29.226932999999988</v>
      </c>
      <c r="U529" s="311">
        <f t="shared" ca="1" si="234"/>
        <v>0</v>
      </c>
      <c r="V529" s="306">
        <f t="shared" ca="1" si="235"/>
        <v>1.2250976789374992</v>
      </c>
      <c r="W529" s="304">
        <f t="shared" ca="1" si="236"/>
        <v>27.442202575243691</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0.57438024934838339</v>
      </c>
      <c r="AH529" s="304">
        <f t="shared" ca="1" si="260"/>
        <v>-9.2109367316676831</v>
      </c>
    </row>
    <row r="530" spans="1:34" x14ac:dyDescent="0.2">
      <c r="A530" s="347">
        <f t="shared" ca="1" si="238"/>
        <v>1E-4</v>
      </c>
      <c r="B530" s="304">
        <f t="shared" ca="1" si="239"/>
        <v>37.002200000000293</v>
      </c>
      <c r="D530" s="306">
        <f t="shared" ca="1" si="240"/>
        <v>-0.65299062160814103</v>
      </c>
      <c r="E530" s="307">
        <f t="shared" ca="1" si="241"/>
        <v>-0.62221886858444719</v>
      </c>
      <c r="F530" s="304">
        <f t="shared" ca="1" si="242"/>
        <v>0.90197176914285737</v>
      </c>
      <c r="G530" s="306">
        <f t="shared" ca="1" si="243"/>
        <v>7.4145718761770745</v>
      </c>
      <c r="H530" s="307">
        <f t="shared" ca="1" si="244"/>
        <v>-104.32631328991</v>
      </c>
      <c r="I530" s="304">
        <f t="shared" ca="1" si="245"/>
        <v>104.58946180553492</v>
      </c>
      <c r="J530" s="306">
        <f t="shared" ca="1" si="246"/>
        <v>839.7136314269211</v>
      </c>
      <c r="K530" s="307">
        <f t="shared" ca="1" si="247"/>
        <v>-0.80777992044057623</v>
      </c>
      <c r="L530" s="304">
        <f t="shared" ca="1" si="232"/>
        <v>839.71401995714416</v>
      </c>
      <c r="M530" s="306">
        <f t="shared" ca="1" si="248"/>
        <v>-1.4998446611001663</v>
      </c>
      <c r="N530" s="304">
        <f t="shared" ca="1" si="249"/>
        <v>-85.934769006268809</v>
      </c>
      <c r="P530" s="310">
        <f t="shared" ca="1" si="250"/>
        <v>23</v>
      </c>
      <c r="Q530" s="304">
        <f t="shared" ca="1" si="251"/>
        <v>0</v>
      </c>
      <c r="R530" s="306">
        <f t="shared" ca="1" si="252"/>
        <v>0</v>
      </c>
      <c r="S530" s="307">
        <f t="shared" ca="1" si="253"/>
        <v>2.9792999999999985</v>
      </c>
      <c r="T530" s="304">
        <f t="shared" ca="1" si="233"/>
        <v>29.226932999999988</v>
      </c>
      <c r="U530" s="311">
        <f t="shared" ca="1" si="234"/>
        <v>0</v>
      </c>
      <c r="V530" s="306">
        <f t="shared" ca="1" si="235"/>
        <v>1.2250989570370294</v>
      </c>
      <c r="W530" s="304">
        <f t="shared" ca="1" si="236"/>
        <v>27.442261344945354</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0.57436098548728154</v>
      </c>
      <c r="AH530" s="304">
        <f t="shared" ca="1" si="260"/>
        <v>-9.2109564579745928</v>
      </c>
    </row>
    <row r="531" spans="1:34" x14ac:dyDescent="0.2">
      <c r="A531" s="347">
        <f t="shared" ca="1" si="238"/>
        <v>1E-4</v>
      </c>
      <c r="B531" s="304">
        <f t="shared" ca="1" si="239"/>
        <v>37.002300000000297</v>
      </c>
      <c r="D531" s="306">
        <f t="shared" ca="1" si="240"/>
        <v>-0.6529859106923418</v>
      </c>
      <c r="E531" s="307">
        <f t="shared" ca="1" si="241"/>
        <v>-0.62219875800694702</v>
      </c>
      <c r="F531" s="304">
        <f t="shared" ca="1" si="242"/>
        <v>0.9019544855634869</v>
      </c>
      <c r="G531" s="306">
        <f t="shared" ca="1" si="243"/>
        <v>7.4145065775860051</v>
      </c>
      <c r="H531" s="307">
        <f t="shared" ca="1" si="244"/>
        <v>-104.32637550978581</v>
      </c>
      <c r="I531" s="304">
        <f t="shared" ca="1" si="245"/>
        <v>104.58951923973024</v>
      </c>
      <c r="J531" s="306">
        <f t="shared" ca="1" si="246"/>
        <v>839.7136314269211</v>
      </c>
      <c r="K531" s="307">
        <f t="shared" ca="1" si="247"/>
        <v>-0.81821255488056099</v>
      </c>
      <c r="L531" s="304">
        <f t="shared" ca="1" si="232"/>
        <v>839.71403005783588</v>
      </c>
      <c r="M531" s="306">
        <f t="shared" ca="1" si="248"/>
        <v>-1.4998453260348579</v>
      </c>
      <c r="N531" s="304">
        <f t="shared" ca="1" si="249"/>
        <v>-85.934807104220283</v>
      </c>
      <c r="P531" s="310">
        <f t="shared" ca="1" si="250"/>
        <v>23</v>
      </c>
      <c r="Q531" s="304">
        <f t="shared" ca="1" si="251"/>
        <v>0</v>
      </c>
      <c r="R531" s="306">
        <f t="shared" ca="1" si="252"/>
        <v>0</v>
      </c>
      <c r="S531" s="307">
        <f t="shared" ca="1" si="253"/>
        <v>2.9792999999999985</v>
      </c>
      <c r="T531" s="304">
        <f t="shared" ca="1" si="233"/>
        <v>29.226932999999988</v>
      </c>
      <c r="U531" s="311">
        <f t="shared" ca="1" si="234"/>
        <v>0</v>
      </c>
      <c r="V531" s="306">
        <f t="shared" ca="1" si="235"/>
        <v>1.2251002351386555</v>
      </c>
      <c r="W531" s="304">
        <f t="shared" ca="1" si="236"/>
        <v>27.442320113762523</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0.57434172191416089</v>
      </c>
      <c r="AH531" s="304">
        <f t="shared" ca="1" si="260"/>
        <v>-9.2109761839846165</v>
      </c>
    </row>
    <row r="532" spans="1:34" x14ac:dyDescent="0.2">
      <c r="A532" s="347">
        <f t="shared" ca="1" si="238"/>
        <v>1E-4</v>
      </c>
      <c r="B532" s="304">
        <f t="shared" ca="1" si="239"/>
        <v>37.0024000000003</v>
      </c>
      <c r="D532" s="306">
        <f t="shared" ca="1" si="240"/>
        <v>-0.65298119978955615</v>
      </c>
      <c r="E532" s="307">
        <f t="shared" ca="1" si="241"/>
        <v>-0.6221786477320812</v>
      </c>
      <c r="F532" s="304">
        <f t="shared" ca="1" si="242"/>
        <v>0.90193720234411523</v>
      </c>
      <c r="G532" s="306">
        <f t="shared" ca="1" si="243"/>
        <v>7.4144412794660264</v>
      </c>
      <c r="H532" s="307">
        <f t="shared" ca="1" si="244"/>
        <v>-104.32643772765059</v>
      </c>
      <c r="I532" s="304">
        <f t="shared" ca="1" si="245"/>
        <v>104.58957667199923</v>
      </c>
      <c r="J532" s="306">
        <f t="shared" ca="1" si="246"/>
        <v>839.7136314269211</v>
      </c>
      <c r="K532" s="307">
        <f t="shared" ca="1" si="247"/>
        <v>-0.82864519554243277</v>
      </c>
      <c r="L532" s="304">
        <f t="shared" ca="1" si="232"/>
        <v>839.71404028814902</v>
      </c>
      <c r="M532" s="306">
        <f t="shared" ca="1" si="248"/>
        <v>-1.4998459909629633</v>
      </c>
      <c r="N532" s="304">
        <f t="shared" ca="1" si="249"/>
        <v>-85.934845201794403</v>
      </c>
      <c r="P532" s="310">
        <f t="shared" ca="1" si="250"/>
        <v>23</v>
      </c>
      <c r="Q532" s="304">
        <f t="shared" ca="1" si="251"/>
        <v>0</v>
      </c>
      <c r="R532" s="306">
        <f t="shared" ca="1" si="252"/>
        <v>0</v>
      </c>
      <c r="S532" s="307">
        <f t="shared" ca="1" si="253"/>
        <v>2.9792999999999985</v>
      </c>
      <c r="T532" s="304">
        <f t="shared" ca="1" si="233"/>
        <v>29.226932999999988</v>
      </c>
      <c r="U532" s="311">
        <f t="shared" ca="1" si="234"/>
        <v>0</v>
      </c>
      <c r="V532" s="306">
        <f t="shared" ca="1" si="235"/>
        <v>1.225101513242377</v>
      </c>
      <c r="W532" s="304">
        <f t="shared" ca="1" si="236"/>
        <v>27.442378881695209</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0.57432245862901254</v>
      </c>
      <c r="AH532" s="304">
        <f t="shared" ca="1" si="260"/>
        <v>-9.2109959096977612</v>
      </c>
    </row>
    <row r="533" spans="1:34" x14ac:dyDescent="0.2">
      <c r="A533" s="347">
        <f t="shared" ca="1" si="238"/>
        <v>1E-4</v>
      </c>
      <c r="B533" s="304">
        <f t="shared" ca="1" si="239"/>
        <v>37.002500000000303</v>
      </c>
      <c r="D533" s="306">
        <f t="shared" ca="1" si="240"/>
        <v>-0.65297648889978088</v>
      </c>
      <c r="E533" s="307">
        <f t="shared" ca="1" si="241"/>
        <v>-0.6221585377598533</v>
      </c>
      <c r="F533" s="304">
        <f t="shared" ca="1" si="242"/>
        <v>0.90191991948474259</v>
      </c>
      <c r="G533" s="306">
        <f t="shared" ca="1" si="243"/>
        <v>7.4143759818171366</v>
      </c>
      <c r="H533" s="307">
        <f t="shared" ca="1" si="244"/>
        <v>-104.32649994350436</v>
      </c>
      <c r="I533" s="304">
        <f t="shared" ca="1" si="245"/>
        <v>104.5896341023419</v>
      </c>
      <c r="J533" s="306">
        <f t="shared" ca="1" si="246"/>
        <v>839.7136314269211</v>
      </c>
      <c r="K533" s="307">
        <f t="shared" ca="1" si="247"/>
        <v>-0.83907784242599048</v>
      </c>
      <c r="L533" s="304">
        <f t="shared" ca="1" si="232"/>
        <v>839.71405064808391</v>
      </c>
      <c r="M533" s="306">
        <f t="shared" ca="1" si="248"/>
        <v>-1.4998466558844827</v>
      </c>
      <c r="N533" s="304">
        <f t="shared" ca="1" si="249"/>
        <v>-85.934883298991181</v>
      </c>
      <c r="P533" s="310">
        <f t="shared" ca="1" si="250"/>
        <v>23</v>
      </c>
      <c r="Q533" s="304">
        <f t="shared" ca="1" si="251"/>
        <v>0</v>
      </c>
      <c r="R533" s="306">
        <f t="shared" ca="1" si="252"/>
        <v>0</v>
      </c>
      <c r="S533" s="307">
        <f t="shared" ca="1" si="253"/>
        <v>2.9792999999999985</v>
      </c>
      <c r="T533" s="304">
        <f t="shared" ca="1" si="233"/>
        <v>29.226932999999988</v>
      </c>
      <c r="U533" s="311">
        <f t="shared" ca="1" si="234"/>
        <v>0</v>
      </c>
      <c r="V533" s="306">
        <f t="shared" ca="1" si="235"/>
        <v>1.2251027913481944</v>
      </c>
      <c r="W533" s="304">
        <f t="shared" ca="1" si="236"/>
        <v>27.442437648743415</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0.57430319563183652</v>
      </c>
      <c r="AH533" s="304">
        <f t="shared" ca="1" si="260"/>
        <v>-9.2110156351140269</v>
      </c>
    </row>
    <row r="534" spans="1:34" x14ac:dyDescent="0.2">
      <c r="A534" s="347">
        <f t="shared" ca="1" si="238"/>
        <v>1E-4</v>
      </c>
      <c r="B534" s="304">
        <f t="shared" ca="1" si="239"/>
        <v>37.002600000000307</v>
      </c>
      <c r="D534" s="306">
        <f t="shared" ca="1" si="240"/>
        <v>-0.65297177802301754</v>
      </c>
      <c r="E534" s="307">
        <f t="shared" ca="1" si="241"/>
        <v>-0.62213842809025266</v>
      </c>
      <c r="F534" s="304">
        <f t="shared" ca="1" si="242"/>
        <v>0.90190263698536299</v>
      </c>
      <c r="G534" s="306">
        <f t="shared" ca="1" si="243"/>
        <v>7.4143106846393341</v>
      </c>
      <c r="H534" s="307">
        <f t="shared" ca="1" si="244"/>
        <v>-104.32656215734717</v>
      </c>
      <c r="I534" s="304">
        <f t="shared" ca="1" si="245"/>
        <v>104.58969153075832</v>
      </c>
      <c r="J534" s="306">
        <f t="shared" ca="1" si="246"/>
        <v>839.7136314269211</v>
      </c>
      <c r="K534" s="307">
        <f t="shared" ca="1" si="247"/>
        <v>-0.84951049553103308</v>
      </c>
      <c r="L534" s="304">
        <f t="shared" ca="1" si="232"/>
        <v>839.71406113764056</v>
      </c>
      <c r="M534" s="306">
        <f t="shared" ca="1" si="248"/>
        <v>-1.4998473207994161</v>
      </c>
      <c r="N534" s="304">
        <f t="shared" ca="1" si="249"/>
        <v>-85.934921395810591</v>
      </c>
      <c r="P534" s="310">
        <f t="shared" ca="1" si="250"/>
        <v>23</v>
      </c>
      <c r="Q534" s="304">
        <f t="shared" ca="1" si="251"/>
        <v>0</v>
      </c>
      <c r="R534" s="306">
        <f t="shared" ca="1" si="252"/>
        <v>0</v>
      </c>
      <c r="S534" s="307">
        <f t="shared" ca="1" si="253"/>
        <v>2.9792999999999985</v>
      </c>
      <c r="T534" s="304">
        <f t="shared" ca="1" si="233"/>
        <v>29.226932999999988</v>
      </c>
      <c r="U534" s="311">
        <f t="shared" ca="1" si="234"/>
        <v>0</v>
      </c>
      <c r="V534" s="306">
        <f t="shared" ca="1" si="235"/>
        <v>1.2251040694561077</v>
      </c>
      <c r="W534" s="304">
        <f t="shared" ca="1" si="236"/>
        <v>27.442496414907168</v>
      </c>
      <c r="Y534" s="314" t="str">
        <f t="shared" ca="1" si="254"/>
        <v/>
      </c>
      <c r="Z534" s="315" t="str">
        <f t="shared" ca="1" si="255"/>
        <v/>
      </c>
      <c r="AA534" s="316" t="str">
        <f t="shared" ca="1" si="256"/>
        <v/>
      </c>
      <c r="AC534" s="310" t="e">
        <f t="shared" ca="1" si="257"/>
        <v>#N/A</v>
      </c>
      <c r="AD534" s="323" t="e">
        <f t="shared" ca="1" si="258"/>
        <v>#N/A</v>
      </c>
      <c r="AE534" s="324" t="e">
        <f t="shared" ca="1" si="237"/>
        <v>#N/A</v>
      </c>
      <c r="AG534" s="306">
        <f t="shared" ca="1" si="259"/>
        <v>0.5742839329226257</v>
      </c>
      <c r="AH534" s="304">
        <f t="shared" ca="1" si="260"/>
        <v>-9.2110353602334207</v>
      </c>
    </row>
    <row r="535" spans="1:34" x14ac:dyDescent="0.2">
      <c r="A535" s="347">
        <f t="shared" ca="1" si="238"/>
        <v>1E-4</v>
      </c>
      <c r="B535" s="304">
        <f t="shared" ca="1" si="239"/>
        <v>37.00270000000031</v>
      </c>
      <c r="D535" s="306">
        <f t="shared" ca="1" si="240"/>
        <v>-0.65296706715926733</v>
      </c>
      <c r="E535" s="307">
        <f t="shared" ca="1" si="241"/>
        <v>-0.62211831872327394</v>
      </c>
      <c r="F535" s="304">
        <f t="shared" ca="1" si="242"/>
        <v>0.90188535484597387</v>
      </c>
      <c r="G535" s="306">
        <f t="shared" ca="1" si="243"/>
        <v>7.4142453879326178</v>
      </c>
      <c r="H535" s="307">
        <f t="shared" ca="1" si="244"/>
        <v>-104.32662436917904</v>
      </c>
      <c r="I535" s="304">
        <f t="shared" ca="1" si="245"/>
        <v>104.58974895724849</v>
      </c>
      <c r="J535" s="306">
        <f t="shared" ca="1" si="246"/>
        <v>839.7136314269211</v>
      </c>
      <c r="K535" s="307">
        <f t="shared" ca="1" si="247"/>
        <v>-0.85994315485735939</v>
      </c>
      <c r="L535" s="304">
        <f t="shared" ca="1" si="232"/>
        <v>839.71407175681929</v>
      </c>
      <c r="M535" s="306">
        <f t="shared" ca="1" si="248"/>
        <v>-1.4998479857077633</v>
      </c>
      <c r="N535" s="304">
        <f t="shared" ca="1" si="249"/>
        <v>-85.934959492252659</v>
      </c>
      <c r="P535" s="310">
        <f t="shared" ca="1" si="250"/>
        <v>23</v>
      </c>
      <c r="Q535" s="304">
        <f t="shared" ca="1" si="251"/>
        <v>0</v>
      </c>
      <c r="R535" s="306">
        <f t="shared" ca="1" si="252"/>
        <v>0</v>
      </c>
      <c r="S535" s="307">
        <f t="shared" ca="1" si="253"/>
        <v>2.9792999999999985</v>
      </c>
      <c r="T535" s="304">
        <f t="shared" ca="1" si="233"/>
        <v>29.226932999999988</v>
      </c>
      <c r="U535" s="311">
        <f t="shared" ca="1" si="234"/>
        <v>0</v>
      </c>
      <c r="V535" s="306">
        <f t="shared" ca="1" si="235"/>
        <v>1.2251053475661162</v>
      </c>
      <c r="W535" s="304">
        <f t="shared" ca="1" si="236"/>
        <v>27.442555180186453</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0.57426467050137653</v>
      </c>
      <c r="AH535" s="304">
        <f t="shared" ca="1" si="260"/>
        <v>-9.2110550850559463</v>
      </c>
    </row>
    <row r="536" spans="1:34" x14ac:dyDescent="0.2">
      <c r="A536" s="347">
        <f t="shared" ca="1" si="238"/>
        <v>1E-4</v>
      </c>
      <c r="B536" s="304">
        <f t="shared" ca="1" si="239"/>
        <v>37.002800000000313</v>
      </c>
      <c r="D536" s="306">
        <f t="shared" ca="1" si="240"/>
        <v>-0.65296235630853106</v>
      </c>
      <c r="E536" s="307">
        <f t="shared" ca="1" si="241"/>
        <v>-0.62209820965892426</v>
      </c>
      <c r="F536" s="304">
        <f t="shared" ca="1" si="242"/>
        <v>0.90186807306658101</v>
      </c>
      <c r="G536" s="306">
        <f t="shared" ca="1" si="243"/>
        <v>7.4141800916969869</v>
      </c>
      <c r="H536" s="307">
        <f t="shared" ca="1" si="244"/>
        <v>-104.32668657900001</v>
      </c>
      <c r="I536" s="304">
        <f t="shared" ca="1" si="245"/>
        <v>104.58980638181245</v>
      </c>
      <c r="J536" s="306">
        <f t="shared" ca="1" si="246"/>
        <v>839.7136314269211</v>
      </c>
      <c r="K536" s="307">
        <f t="shared" ca="1" si="247"/>
        <v>-0.87037582040476835</v>
      </c>
      <c r="L536" s="304">
        <f t="shared" ca="1" si="232"/>
        <v>839.71408250562035</v>
      </c>
      <c r="M536" s="306">
        <f t="shared" ca="1" si="248"/>
        <v>-1.4998486506095248</v>
      </c>
      <c r="N536" s="304">
        <f t="shared" ca="1" si="249"/>
        <v>-85.934997588317373</v>
      </c>
      <c r="P536" s="310">
        <f t="shared" ca="1" si="250"/>
        <v>23</v>
      </c>
      <c r="Q536" s="304">
        <f t="shared" ca="1" si="251"/>
        <v>0</v>
      </c>
      <c r="R536" s="306">
        <f t="shared" ca="1" si="252"/>
        <v>0</v>
      </c>
      <c r="S536" s="307">
        <f t="shared" ca="1" si="253"/>
        <v>2.9792999999999985</v>
      </c>
      <c r="T536" s="304">
        <f t="shared" ca="1" si="233"/>
        <v>29.226932999999988</v>
      </c>
      <c r="U536" s="311">
        <f t="shared" ca="1" si="234"/>
        <v>0</v>
      </c>
      <c r="V536" s="306">
        <f t="shared" ca="1" si="235"/>
        <v>1.2251066256782204</v>
      </c>
      <c r="W536" s="304">
        <f t="shared" ca="1" si="236"/>
        <v>27.442613944581296</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0.57424540836809079</v>
      </c>
      <c r="AH536" s="304">
        <f t="shared" ca="1" si="260"/>
        <v>-9.2110748095816017</v>
      </c>
    </row>
    <row r="537" spans="1:34" x14ac:dyDescent="0.2">
      <c r="A537" s="347">
        <f t="shared" ca="1" si="238"/>
        <v>1E-4</v>
      </c>
      <c r="B537" s="304">
        <f t="shared" ca="1" si="239"/>
        <v>37.002900000000317</v>
      </c>
      <c r="D537" s="306">
        <f t="shared" ca="1" si="240"/>
        <v>-0.65295764547080837</v>
      </c>
      <c r="E537" s="307">
        <f t="shared" ca="1" si="241"/>
        <v>-0.62207810089719118</v>
      </c>
      <c r="F537" s="304">
        <f t="shared" ca="1" si="242"/>
        <v>0.90185079164717585</v>
      </c>
      <c r="G537" s="306">
        <f t="shared" ca="1" si="243"/>
        <v>7.4141147959324396</v>
      </c>
      <c r="H537" s="307">
        <f t="shared" ca="1" si="244"/>
        <v>-104.3267487868101</v>
      </c>
      <c r="I537" s="304">
        <f t="shared" ca="1" si="245"/>
        <v>104.58986380445022</v>
      </c>
      <c r="J537" s="306">
        <f t="shared" ca="1" si="246"/>
        <v>839.7136314269211</v>
      </c>
      <c r="K537" s="307">
        <f t="shared" ca="1" si="247"/>
        <v>-0.8808084921730589</v>
      </c>
      <c r="L537" s="304">
        <f t="shared" ca="1" si="232"/>
        <v>839.71409338404396</v>
      </c>
      <c r="M537" s="306">
        <f t="shared" ca="1" si="248"/>
        <v>-1.4998493155047004</v>
      </c>
      <c r="N537" s="304">
        <f t="shared" ca="1" si="249"/>
        <v>-85.93503568400476</v>
      </c>
      <c r="P537" s="310">
        <f t="shared" ca="1" si="250"/>
        <v>23</v>
      </c>
      <c r="Q537" s="304">
        <f t="shared" ca="1" si="251"/>
        <v>0</v>
      </c>
      <c r="R537" s="306">
        <f t="shared" ca="1" si="252"/>
        <v>0</v>
      </c>
      <c r="S537" s="307">
        <f t="shared" ca="1" si="253"/>
        <v>2.9792999999999985</v>
      </c>
      <c r="T537" s="304">
        <f t="shared" ca="1" si="233"/>
        <v>29.226932999999988</v>
      </c>
      <c r="U537" s="311">
        <f t="shared" ca="1" si="234"/>
        <v>0</v>
      </c>
      <c r="V537" s="306">
        <f t="shared" ca="1" si="235"/>
        <v>1.2251079037924202</v>
      </c>
      <c r="W537" s="304">
        <f t="shared" ca="1" si="236"/>
        <v>27.442672708091706</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0.57422614652276138</v>
      </c>
      <c r="AH537" s="304">
        <f t="shared" ca="1" si="260"/>
        <v>-9.211094533810396</v>
      </c>
    </row>
    <row r="538" spans="1:34" x14ac:dyDescent="0.2">
      <c r="A538" s="347">
        <f t="shared" ca="1" si="238"/>
        <v>1E-4</v>
      </c>
      <c r="B538" s="304">
        <f t="shared" ca="1" si="239"/>
        <v>37.00300000000032</v>
      </c>
      <c r="D538" s="306">
        <f t="shared" ca="1" si="240"/>
        <v>-0.65295293464610038</v>
      </c>
      <c r="E538" s="307">
        <f t="shared" ca="1" si="241"/>
        <v>-0.62205799243807647</v>
      </c>
      <c r="F538" s="304">
        <f t="shared" ca="1" si="242"/>
        <v>0.90183351058776062</v>
      </c>
      <c r="G538" s="306">
        <f t="shared" ca="1" si="243"/>
        <v>7.4140495006389751</v>
      </c>
      <c r="H538" s="307">
        <f t="shared" ca="1" si="244"/>
        <v>-104.32681099260934</v>
      </c>
      <c r="I538" s="304">
        <f t="shared" ca="1" si="245"/>
        <v>104.58992122516185</v>
      </c>
      <c r="J538" s="306">
        <f t="shared" ca="1" si="246"/>
        <v>839.7136314269211</v>
      </c>
      <c r="K538" s="307">
        <f t="shared" ca="1" si="247"/>
        <v>-0.89124117016202986</v>
      </c>
      <c r="L538" s="304">
        <f t="shared" ca="1" si="232"/>
        <v>839.71410439209046</v>
      </c>
      <c r="M538" s="306">
        <f t="shared" ca="1" si="248"/>
        <v>-1.4998499803932903</v>
      </c>
      <c r="N538" s="304">
        <f t="shared" ca="1" si="249"/>
        <v>-85.935073779314806</v>
      </c>
      <c r="P538" s="310">
        <f t="shared" ca="1" si="250"/>
        <v>23</v>
      </c>
      <c r="Q538" s="304">
        <f t="shared" ca="1" si="251"/>
        <v>0</v>
      </c>
      <c r="R538" s="306">
        <f t="shared" ca="1" si="252"/>
        <v>0</v>
      </c>
      <c r="S538" s="307">
        <f t="shared" ca="1" si="253"/>
        <v>2.9792999999999985</v>
      </c>
      <c r="T538" s="304">
        <f t="shared" ca="1" si="233"/>
        <v>29.226932999999988</v>
      </c>
      <c r="U538" s="311">
        <f t="shared" ca="1" si="234"/>
        <v>0</v>
      </c>
      <c r="V538" s="306">
        <f t="shared" ca="1" si="235"/>
        <v>1.2251091819087154</v>
      </c>
      <c r="W538" s="304">
        <f t="shared" ca="1" si="236"/>
        <v>27.442731470717689</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0.57420688496538475</v>
      </c>
      <c r="AH538" s="304">
        <f t="shared" ca="1" si="260"/>
        <v>-9.2111142577423291</v>
      </c>
    </row>
    <row r="539" spans="1:34" x14ac:dyDescent="0.2">
      <c r="A539" s="347">
        <f t="shared" ca="1" si="238"/>
        <v>1E-4</v>
      </c>
      <c r="B539" s="304">
        <f t="shared" ca="1" si="239"/>
        <v>37.003100000000323</v>
      </c>
      <c r="D539" s="306">
        <f t="shared" ca="1" si="240"/>
        <v>-0.65294822383440587</v>
      </c>
      <c r="E539" s="307">
        <f t="shared" ca="1" si="241"/>
        <v>-0.62203788428157303</v>
      </c>
      <c r="F539" s="304">
        <f t="shared" ca="1" si="242"/>
        <v>0.90181622988832988</v>
      </c>
      <c r="G539" s="306">
        <f t="shared" ca="1" si="243"/>
        <v>7.4139842058165915</v>
      </c>
      <c r="H539" s="307">
        <f t="shared" ca="1" si="244"/>
        <v>-104.32687319639777</v>
      </c>
      <c r="I539" s="304">
        <f t="shared" ca="1" si="245"/>
        <v>104.58997864394732</v>
      </c>
      <c r="J539" s="306">
        <f t="shared" ca="1" si="246"/>
        <v>839.7136314269211</v>
      </c>
      <c r="K539" s="307">
        <f t="shared" ca="1" si="247"/>
        <v>-0.90167385437148018</v>
      </c>
      <c r="L539" s="304">
        <f t="shared" ca="1" si="232"/>
        <v>839.71411552975974</v>
      </c>
      <c r="M539" s="306">
        <f t="shared" ca="1" si="248"/>
        <v>-1.4998506452752947</v>
      </c>
      <c r="N539" s="304">
        <f t="shared" ca="1" si="249"/>
        <v>-85.935111874247525</v>
      </c>
      <c r="P539" s="310">
        <f t="shared" ca="1" si="250"/>
        <v>23</v>
      </c>
      <c r="Q539" s="304">
        <f t="shared" ca="1" si="251"/>
        <v>0</v>
      </c>
      <c r="R539" s="306">
        <f t="shared" ca="1" si="252"/>
        <v>0</v>
      </c>
      <c r="S539" s="307">
        <f t="shared" ca="1" si="253"/>
        <v>2.9792999999999985</v>
      </c>
      <c r="T539" s="304">
        <f t="shared" ca="1" si="233"/>
        <v>29.226932999999988</v>
      </c>
      <c r="U539" s="311">
        <f t="shared" ca="1" si="234"/>
        <v>0</v>
      </c>
      <c r="V539" s="306">
        <f t="shared" ca="1" si="235"/>
        <v>1.2251104600271068</v>
      </c>
      <c r="W539" s="304">
        <f t="shared" ca="1" si="236"/>
        <v>27.442790232459259</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0.57418762369596266</v>
      </c>
      <c r="AH539" s="304">
        <f t="shared" ca="1" si="260"/>
        <v>-9.2111339813774045</v>
      </c>
    </row>
    <row r="540" spans="1:34" x14ac:dyDescent="0.2">
      <c r="A540" s="347">
        <f t="shared" ca="1" si="238"/>
        <v>1E-4</v>
      </c>
      <c r="B540" s="304">
        <f t="shared" ca="1" si="239"/>
        <v>37.003200000000326</v>
      </c>
      <c r="D540" s="306">
        <f t="shared" ca="1" si="240"/>
        <v>-0.65294351303572684</v>
      </c>
      <c r="E540" s="307">
        <f t="shared" ca="1" si="241"/>
        <v>-0.62201777642767553</v>
      </c>
      <c r="F540" s="304">
        <f t="shared" ca="1" si="242"/>
        <v>0.90179894954888151</v>
      </c>
      <c r="G540" s="306">
        <f t="shared" ca="1" si="243"/>
        <v>7.4139189114652879</v>
      </c>
      <c r="H540" s="307">
        <f t="shared" ca="1" si="244"/>
        <v>-104.32693539817541</v>
      </c>
      <c r="I540" s="304">
        <f t="shared" ca="1" si="245"/>
        <v>104.59003606080671</v>
      </c>
      <c r="J540" s="306">
        <f t="shared" ca="1" si="246"/>
        <v>839.7136314269211</v>
      </c>
      <c r="K540" s="307">
        <f t="shared" ca="1" si="247"/>
        <v>-0.91210654480120879</v>
      </c>
      <c r="L540" s="304">
        <f t="shared" ca="1" si="232"/>
        <v>839.71412679705236</v>
      </c>
      <c r="M540" s="306">
        <f t="shared" ca="1" si="248"/>
        <v>-1.4998513101507134</v>
      </c>
      <c r="N540" s="304">
        <f t="shared" ca="1" si="249"/>
        <v>-85.935149968802918</v>
      </c>
      <c r="P540" s="310">
        <f t="shared" ca="1" si="250"/>
        <v>23</v>
      </c>
      <c r="Q540" s="304">
        <f t="shared" ca="1" si="251"/>
        <v>0</v>
      </c>
      <c r="R540" s="306">
        <f t="shared" ca="1" si="252"/>
        <v>0</v>
      </c>
      <c r="S540" s="307">
        <f t="shared" ca="1" si="253"/>
        <v>2.9792999999999985</v>
      </c>
      <c r="T540" s="304">
        <f t="shared" ca="1" si="233"/>
        <v>29.226932999999988</v>
      </c>
      <c r="U540" s="311">
        <f t="shared" ca="1" si="234"/>
        <v>0</v>
      </c>
      <c r="V540" s="306">
        <f t="shared" ca="1" si="235"/>
        <v>1.2251117381475931</v>
      </c>
      <c r="W540" s="304">
        <f t="shared" ca="1" si="236"/>
        <v>27.442848993316417</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0.57416836271448624</v>
      </c>
      <c r="AH540" s="304">
        <f t="shared" ca="1" si="260"/>
        <v>-9.2111537047156293</v>
      </c>
    </row>
    <row r="541" spans="1:34" x14ac:dyDescent="0.2">
      <c r="A541" s="347">
        <f t="shared" ca="1" si="238"/>
        <v>1E-4</v>
      </c>
      <c r="B541" s="304">
        <f t="shared" ca="1" si="239"/>
        <v>37.00330000000033</v>
      </c>
      <c r="D541" s="306">
        <f t="shared" ca="1" si="240"/>
        <v>-0.65293880225006384</v>
      </c>
      <c r="E541" s="307">
        <f t="shared" ca="1" si="241"/>
        <v>-0.6219976688763893</v>
      </c>
      <c r="F541" s="304">
        <f t="shared" ca="1" si="242"/>
        <v>0.90178166956941985</v>
      </c>
      <c r="G541" s="306">
        <f t="shared" ca="1" si="243"/>
        <v>7.4138536175850627</v>
      </c>
      <c r="H541" s="307">
        <f t="shared" ca="1" si="244"/>
        <v>-104.3269975979423</v>
      </c>
      <c r="I541" s="304">
        <f t="shared" ca="1" si="245"/>
        <v>104.59009347574003</v>
      </c>
      <c r="J541" s="306">
        <f t="shared" ca="1" si="246"/>
        <v>839.7136314269211</v>
      </c>
      <c r="K541" s="307">
        <f t="shared" ca="1" si="247"/>
        <v>-0.92253924145101462</v>
      </c>
      <c r="L541" s="304">
        <f t="shared" ca="1" si="232"/>
        <v>839.71413819396844</v>
      </c>
      <c r="M541" s="306">
        <f t="shared" ca="1" si="248"/>
        <v>-1.4998519750195465</v>
      </c>
      <c r="N541" s="304">
        <f t="shared" ca="1" si="249"/>
        <v>-85.935188062980984</v>
      </c>
      <c r="P541" s="310">
        <f t="shared" ca="1" si="250"/>
        <v>23</v>
      </c>
      <c r="Q541" s="304">
        <f t="shared" ca="1" si="251"/>
        <v>0</v>
      </c>
      <c r="R541" s="306">
        <f t="shared" ca="1" si="252"/>
        <v>0</v>
      </c>
      <c r="S541" s="307">
        <f t="shared" ca="1" si="253"/>
        <v>2.9792999999999985</v>
      </c>
      <c r="T541" s="304">
        <f t="shared" ca="1" si="233"/>
        <v>29.226932999999988</v>
      </c>
      <c r="U541" s="311">
        <f t="shared" ca="1" si="234"/>
        <v>0</v>
      </c>
      <c r="V541" s="306">
        <f t="shared" ca="1" si="235"/>
        <v>1.2251130162701751</v>
      </c>
      <c r="W541" s="304">
        <f t="shared" ca="1" si="236"/>
        <v>27.442907753289184</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0.57414910202095726</v>
      </c>
      <c r="AH541" s="304">
        <f t="shared" ca="1" si="260"/>
        <v>-9.2111734277570001</v>
      </c>
    </row>
    <row r="542" spans="1:34" x14ac:dyDescent="0.2">
      <c r="A542" s="347">
        <f t="shared" ca="1" si="238"/>
        <v>1E-4</v>
      </c>
      <c r="B542" s="304">
        <f t="shared" ca="1" si="239"/>
        <v>37.003400000000333</v>
      </c>
      <c r="D542" s="306">
        <f t="shared" ca="1" si="240"/>
        <v>-0.65293409147741832</v>
      </c>
      <c r="E542" s="307">
        <f t="shared" ca="1" si="241"/>
        <v>-0.62197756162770546</v>
      </c>
      <c r="F542" s="304">
        <f t="shared" ca="1" si="242"/>
        <v>0.90176438994994024</v>
      </c>
      <c r="G542" s="306">
        <f t="shared" ca="1" si="243"/>
        <v>7.4137883241759148</v>
      </c>
      <c r="H542" s="307">
        <f t="shared" ca="1" si="244"/>
        <v>-104.32705979569846</v>
      </c>
      <c r="I542" s="304">
        <f t="shared" ca="1" si="245"/>
        <v>104.5901508887473</v>
      </c>
      <c r="J542" s="306">
        <f t="shared" ca="1" si="246"/>
        <v>839.7136314269211</v>
      </c>
      <c r="K542" s="307">
        <f t="shared" ca="1" si="247"/>
        <v>-0.93297194432069663</v>
      </c>
      <c r="L542" s="304">
        <f t="shared" ca="1" si="232"/>
        <v>839.71414972050809</v>
      </c>
      <c r="M542" s="306">
        <f t="shared" ca="1" si="248"/>
        <v>-1.4998526398817944</v>
      </c>
      <c r="N542" s="304">
        <f t="shared" ca="1" si="249"/>
        <v>-85.935226156781752</v>
      </c>
      <c r="P542" s="310">
        <f t="shared" ca="1" si="250"/>
        <v>23</v>
      </c>
      <c r="Q542" s="304">
        <f t="shared" ca="1" si="251"/>
        <v>0</v>
      </c>
      <c r="R542" s="306">
        <f t="shared" ca="1" si="252"/>
        <v>0</v>
      </c>
      <c r="S542" s="307">
        <f t="shared" ca="1" si="253"/>
        <v>2.9792999999999985</v>
      </c>
      <c r="T542" s="304">
        <f t="shared" ca="1" si="233"/>
        <v>29.226932999999988</v>
      </c>
      <c r="U542" s="311">
        <f t="shared" ca="1" si="234"/>
        <v>0</v>
      </c>
      <c r="V542" s="306">
        <f t="shared" ca="1" si="235"/>
        <v>1.2251142943948523</v>
      </c>
      <c r="W542" s="304">
        <f t="shared" ca="1" si="236"/>
        <v>27.442966512377559</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0.57412984161536862</v>
      </c>
      <c r="AH542" s="304">
        <f t="shared" ca="1" si="260"/>
        <v>-9.2111931505015257</v>
      </c>
    </row>
    <row r="543" spans="1:34" x14ac:dyDescent="0.2">
      <c r="A543" s="347">
        <f t="shared" ca="1" si="238"/>
        <v>1E-4</v>
      </c>
      <c r="B543" s="304">
        <f t="shared" ca="1" si="239"/>
        <v>37.003500000000336</v>
      </c>
      <c r="D543" s="306">
        <f t="shared" ca="1" si="240"/>
        <v>-0.65292938071778739</v>
      </c>
      <c r="E543" s="307">
        <f t="shared" ca="1" si="241"/>
        <v>-0.62195745468161867</v>
      </c>
      <c r="F543" s="304">
        <f t="shared" ca="1" si="242"/>
        <v>0.90174711069043689</v>
      </c>
      <c r="G543" s="306">
        <f t="shared" ca="1" si="243"/>
        <v>7.4137230312378435</v>
      </c>
      <c r="H543" s="307">
        <f t="shared" ca="1" si="244"/>
        <v>-104.32712199144393</v>
      </c>
      <c r="I543" s="304">
        <f t="shared" ca="1" si="245"/>
        <v>104.59020829982857</v>
      </c>
      <c r="J543" s="306">
        <f t="shared" ca="1" si="246"/>
        <v>839.7136314269211</v>
      </c>
      <c r="K543" s="307">
        <f t="shared" ca="1" si="247"/>
        <v>-0.94340465341005375</v>
      </c>
      <c r="L543" s="304">
        <f t="shared" ca="1" si="232"/>
        <v>839.71416137667177</v>
      </c>
      <c r="M543" s="306">
        <f t="shared" ca="1" si="248"/>
        <v>-1.4998533047374569</v>
      </c>
      <c r="N543" s="304">
        <f t="shared" ca="1" si="249"/>
        <v>-85.935264250205208</v>
      </c>
      <c r="P543" s="310">
        <f t="shared" ca="1" si="250"/>
        <v>23</v>
      </c>
      <c r="Q543" s="304">
        <f t="shared" ca="1" si="251"/>
        <v>0</v>
      </c>
      <c r="R543" s="306">
        <f t="shared" ca="1" si="252"/>
        <v>0</v>
      </c>
      <c r="S543" s="307">
        <f t="shared" ca="1" si="253"/>
        <v>2.9792999999999985</v>
      </c>
      <c r="T543" s="304">
        <f t="shared" ca="1" si="233"/>
        <v>29.226932999999988</v>
      </c>
      <c r="U543" s="311">
        <f t="shared" ca="1" si="234"/>
        <v>0</v>
      </c>
      <c r="V543" s="306">
        <f t="shared" ca="1" si="235"/>
        <v>1.2251155725216258</v>
      </c>
      <c r="W543" s="304">
        <f t="shared" ca="1" si="236"/>
        <v>27.443025270581582</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0.57411058149771677</v>
      </c>
      <c r="AH543" s="304">
        <f t="shared" ca="1" si="260"/>
        <v>-9.2112128729492078</v>
      </c>
    </row>
    <row r="544" spans="1:34" x14ac:dyDescent="0.2">
      <c r="A544" s="347">
        <f t="shared" ca="1" si="238"/>
        <v>1E-4</v>
      </c>
      <c r="B544" s="304">
        <f t="shared" ca="1" si="239"/>
        <v>37.00360000000034</v>
      </c>
      <c r="D544" s="306">
        <f t="shared" ca="1" si="240"/>
        <v>-0.65292466997117493</v>
      </c>
      <c r="E544" s="307">
        <f t="shared" ca="1" si="241"/>
        <v>-0.62193734803812362</v>
      </c>
      <c r="F544" s="304">
        <f t="shared" ca="1" si="242"/>
        <v>0.90172983179090949</v>
      </c>
      <c r="G544" s="306">
        <f t="shared" ca="1" si="243"/>
        <v>7.413657738770846</v>
      </c>
      <c r="H544" s="307">
        <f t="shared" ca="1" si="244"/>
        <v>-104.32718418517874</v>
      </c>
      <c r="I544" s="304">
        <f t="shared" ca="1" si="245"/>
        <v>104.59026570898386</v>
      </c>
      <c r="J544" s="306">
        <f t="shared" ca="1" si="246"/>
        <v>839.7136314269211</v>
      </c>
      <c r="K544" s="307">
        <f t="shared" ca="1" si="247"/>
        <v>-0.95383736871888491</v>
      </c>
      <c r="L544" s="304">
        <f t="shared" ca="1" si="232"/>
        <v>839.71417316245947</v>
      </c>
      <c r="M544" s="306">
        <f t="shared" ca="1" si="248"/>
        <v>-1.4998539695865343</v>
      </c>
      <c r="N544" s="304">
        <f t="shared" ca="1" si="249"/>
        <v>-85.935302343251351</v>
      </c>
      <c r="P544" s="310">
        <f t="shared" ca="1" si="250"/>
        <v>23</v>
      </c>
      <c r="Q544" s="304">
        <f t="shared" ca="1" si="251"/>
        <v>0</v>
      </c>
      <c r="R544" s="306">
        <f t="shared" ca="1" si="252"/>
        <v>0</v>
      </c>
      <c r="S544" s="307">
        <f t="shared" ca="1" si="253"/>
        <v>2.9792999999999985</v>
      </c>
      <c r="T544" s="304">
        <f t="shared" ca="1" si="233"/>
        <v>29.226932999999988</v>
      </c>
      <c r="U544" s="311">
        <f t="shared" ca="1" si="234"/>
        <v>0</v>
      </c>
      <c r="V544" s="306">
        <f t="shared" ca="1" si="235"/>
        <v>1.2251168506504939</v>
      </c>
      <c r="W544" s="304">
        <f t="shared" ca="1" si="236"/>
        <v>27.443084027901214</v>
      </c>
      <c r="Y544" s="314" t="str">
        <f t="shared" ca="1" si="254"/>
        <v/>
      </c>
      <c r="Z544" s="315" t="str">
        <f t="shared" ca="1" si="255"/>
        <v/>
      </c>
      <c r="AA544" s="316" t="str">
        <f t="shared" ca="1" si="256"/>
        <v/>
      </c>
      <c r="AC544" s="310" t="e">
        <f t="shared" ca="1" si="257"/>
        <v>#N/A</v>
      </c>
      <c r="AD544" s="323" t="e">
        <f t="shared" ca="1" si="258"/>
        <v>#N/A</v>
      </c>
      <c r="AE544" s="324" t="e">
        <f t="shared" ca="1" si="237"/>
        <v>#N/A</v>
      </c>
      <c r="AG544" s="306">
        <f t="shared" ca="1" si="259"/>
        <v>0.57409132166799814</v>
      </c>
      <c r="AH544" s="304">
        <f t="shared" ca="1" si="260"/>
        <v>-9.2112325951000553</v>
      </c>
    </row>
    <row r="545" spans="1:34" x14ac:dyDescent="0.2">
      <c r="A545" s="347">
        <f t="shared" ca="1" si="238"/>
        <v>1E-4</v>
      </c>
      <c r="B545" s="304">
        <f t="shared" ca="1" si="239"/>
        <v>37.003700000000343</v>
      </c>
      <c r="D545" s="306">
        <f t="shared" ca="1" si="240"/>
        <v>-0.65291995923757884</v>
      </c>
      <c r="E545" s="307">
        <f t="shared" ca="1" si="241"/>
        <v>-0.62191724169722562</v>
      </c>
      <c r="F545" s="304">
        <f t="shared" ca="1" si="242"/>
        <v>0.90171255325136013</v>
      </c>
      <c r="G545" s="306">
        <f t="shared" ca="1" si="243"/>
        <v>7.4135924467749224</v>
      </c>
      <c r="H545" s="307">
        <f t="shared" ca="1" si="244"/>
        <v>-104.32724637690291</v>
      </c>
      <c r="I545" s="304">
        <f t="shared" ca="1" si="245"/>
        <v>104.59032311621318</v>
      </c>
      <c r="J545" s="306">
        <f t="shared" ca="1" si="246"/>
        <v>839.7136314269211</v>
      </c>
      <c r="K545" s="307">
        <f t="shared" ca="1" si="247"/>
        <v>-0.96427009024698895</v>
      </c>
      <c r="L545" s="304">
        <f t="shared" ca="1" si="232"/>
        <v>839.71418507787166</v>
      </c>
      <c r="M545" s="306">
        <f t="shared" ca="1" si="248"/>
        <v>-1.4998546344290264</v>
      </c>
      <c r="N545" s="304">
        <f t="shared" ca="1" si="249"/>
        <v>-85.935340435920196</v>
      </c>
      <c r="P545" s="310">
        <f t="shared" ca="1" si="250"/>
        <v>23</v>
      </c>
      <c r="Q545" s="304">
        <f t="shared" ca="1" si="251"/>
        <v>0</v>
      </c>
      <c r="R545" s="306">
        <f t="shared" ca="1" si="252"/>
        <v>0</v>
      </c>
      <c r="S545" s="307">
        <f t="shared" ca="1" si="253"/>
        <v>2.9792999999999985</v>
      </c>
      <c r="T545" s="304">
        <f t="shared" ca="1" si="233"/>
        <v>29.226932999999988</v>
      </c>
      <c r="U545" s="311">
        <f t="shared" ca="1" si="234"/>
        <v>0</v>
      </c>
      <c r="V545" s="306">
        <f t="shared" ca="1" si="235"/>
        <v>1.2251181287814579</v>
      </c>
      <c r="W545" s="304">
        <f t="shared" ca="1" si="236"/>
        <v>27.443142784336501</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0.57407206212621631</v>
      </c>
      <c r="AH545" s="304">
        <f t="shared" ca="1" si="260"/>
        <v>-9.2112523169540594</v>
      </c>
    </row>
    <row r="546" spans="1:34" x14ac:dyDescent="0.2">
      <c r="A546" s="347">
        <f t="shared" ca="1" si="238"/>
        <v>1E-4</v>
      </c>
      <c r="B546" s="304">
        <f t="shared" ca="1" si="239"/>
        <v>37.003800000000346</v>
      </c>
      <c r="D546" s="306">
        <f t="shared" ca="1" si="240"/>
        <v>-0.65291524851700145</v>
      </c>
      <c r="E546" s="307">
        <f t="shared" ca="1" si="241"/>
        <v>-0.6218971356589158</v>
      </c>
      <c r="F546" s="304">
        <f t="shared" ca="1" si="242"/>
        <v>0.90169527507178482</v>
      </c>
      <c r="G546" s="306">
        <f t="shared" ca="1" si="243"/>
        <v>7.4135271552500708</v>
      </c>
      <c r="H546" s="307">
        <f t="shared" ca="1" si="244"/>
        <v>-104.32730856661647</v>
      </c>
      <c r="I546" s="304">
        <f t="shared" ca="1" si="245"/>
        <v>104.59038052151658</v>
      </c>
      <c r="J546" s="306">
        <f t="shared" ca="1" si="246"/>
        <v>839.7136314269211</v>
      </c>
      <c r="K546" s="307">
        <f t="shared" ca="1" si="247"/>
        <v>-0.97470281799416492</v>
      </c>
      <c r="L546" s="304">
        <f t="shared" ca="1" si="232"/>
        <v>839.71419712290833</v>
      </c>
      <c r="M546" s="306">
        <f t="shared" ca="1" si="248"/>
        <v>-1.4998552992649334</v>
      </c>
      <c r="N546" s="304">
        <f t="shared" ca="1" si="249"/>
        <v>-85.935378528211729</v>
      </c>
      <c r="P546" s="310">
        <f t="shared" ca="1" si="250"/>
        <v>23</v>
      </c>
      <c r="Q546" s="304">
        <f t="shared" ca="1" si="251"/>
        <v>0</v>
      </c>
      <c r="R546" s="306">
        <f t="shared" ca="1" si="252"/>
        <v>0</v>
      </c>
      <c r="S546" s="307">
        <f t="shared" ca="1" si="253"/>
        <v>2.9792999999999985</v>
      </c>
      <c r="T546" s="304">
        <f t="shared" ca="1" si="233"/>
        <v>29.226932999999988</v>
      </c>
      <c r="U546" s="311">
        <f t="shared" ca="1" si="234"/>
        <v>0</v>
      </c>
      <c r="V546" s="306">
        <f t="shared" ca="1" si="235"/>
        <v>1.2251194069145175</v>
      </c>
      <c r="W546" s="304">
        <f t="shared" ca="1" si="236"/>
        <v>27.443201539887447</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0.5740528028723606</v>
      </c>
      <c r="AH546" s="304">
        <f t="shared" ca="1" si="260"/>
        <v>-9.2112720385112326</v>
      </c>
    </row>
    <row r="547" spans="1:34" x14ac:dyDescent="0.2">
      <c r="A547" s="347">
        <f t="shared" ca="1" si="238"/>
        <v>1E-4</v>
      </c>
      <c r="B547" s="304">
        <f t="shared" ca="1" si="239"/>
        <v>37.00390000000035</v>
      </c>
      <c r="D547" s="306">
        <f t="shared" ca="1" si="240"/>
        <v>-0.65291053780944375</v>
      </c>
      <c r="E547" s="307">
        <f t="shared" ca="1" si="241"/>
        <v>-0.62187702992318705</v>
      </c>
      <c r="F547" s="304">
        <f t="shared" ca="1" si="242"/>
        <v>0.90167799725217956</v>
      </c>
      <c r="G547" s="306">
        <f t="shared" ca="1" si="243"/>
        <v>7.4134618641962895</v>
      </c>
      <c r="H547" s="307">
        <f t="shared" ca="1" si="244"/>
        <v>-104.32737075431946</v>
      </c>
      <c r="I547" s="304">
        <f t="shared" ca="1" si="245"/>
        <v>104.59043792489409</v>
      </c>
      <c r="J547" s="306">
        <f t="shared" ca="1" si="246"/>
        <v>839.7136314269211</v>
      </c>
      <c r="K547" s="307">
        <f t="shared" ca="1" si="247"/>
        <v>-0.98513555196021174</v>
      </c>
      <c r="L547" s="304">
        <f t="shared" ca="1" si="232"/>
        <v>839.71420929756982</v>
      </c>
      <c r="M547" s="306">
        <f t="shared" ca="1" si="248"/>
        <v>-1.4998559640942555</v>
      </c>
      <c r="N547" s="304">
        <f t="shared" ca="1" si="249"/>
        <v>-85.935416620125977</v>
      </c>
      <c r="P547" s="310">
        <f t="shared" ca="1" si="250"/>
        <v>23</v>
      </c>
      <c r="Q547" s="304">
        <f t="shared" ca="1" si="251"/>
        <v>0</v>
      </c>
      <c r="R547" s="306">
        <f t="shared" ca="1" si="252"/>
        <v>0</v>
      </c>
      <c r="S547" s="307">
        <f t="shared" ca="1" si="253"/>
        <v>2.9792999999999985</v>
      </c>
      <c r="T547" s="304">
        <f t="shared" ca="1" si="233"/>
        <v>29.226932999999988</v>
      </c>
      <c r="U547" s="311">
        <f t="shared" ca="1" si="234"/>
        <v>0</v>
      </c>
      <c r="V547" s="306">
        <f t="shared" ca="1" si="235"/>
        <v>1.2251206850496719</v>
      </c>
      <c r="W547" s="304">
        <f t="shared" ca="1" si="236"/>
        <v>27.443260294554051</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0.57403354390642924</v>
      </c>
      <c r="AH547" s="304">
        <f t="shared" ca="1" si="260"/>
        <v>-9.2112917597715782</v>
      </c>
    </row>
    <row r="548" spans="1:34" x14ac:dyDescent="0.2">
      <c r="A548" s="347">
        <f t="shared" ca="1" si="238"/>
        <v>1E-4</v>
      </c>
      <c r="B548" s="304">
        <f t="shared" ca="1" si="239"/>
        <v>37.004000000000353</v>
      </c>
      <c r="D548" s="306">
        <f t="shared" ca="1" si="240"/>
        <v>-0.65290582711490452</v>
      </c>
      <c r="E548" s="307">
        <f t="shared" ca="1" si="241"/>
        <v>-0.62185692449004648</v>
      </c>
      <c r="F548" s="304">
        <f t="shared" ca="1" si="242"/>
        <v>0.90166071979254869</v>
      </c>
      <c r="G548" s="306">
        <f t="shared" ca="1" si="243"/>
        <v>7.4133965736135776</v>
      </c>
      <c r="H548" s="307">
        <f t="shared" ca="1" si="244"/>
        <v>-104.3274329400119</v>
      </c>
      <c r="I548" s="304">
        <f t="shared" ca="1" si="245"/>
        <v>104.59049532634572</v>
      </c>
      <c r="J548" s="306">
        <f t="shared" ca="1" si="246"/>
        <v>839.7136314269211</v>
      </c>
      <c r="K548" s="307">
        <f t="shared" ca="1" si="247"/>
        <v>-0.99556829214492826</v>
      </c>
      <c r="L548" s="304">
        <f t="shared" ca="1" si="232"/>
        <v>839.71422160185625</v>
      </c>
      <c r="M548" s="306">
        <f t="shared" ca="1" si="248"/>
        <v>-1.4998566289169926</v>
      </c>
      <c r="N548" s="304">
        <f t="shared" ca="1" si="249"/>
        <v>-85.935454711662942</v>
      </c>
      <c r="P548" s="310">
        <f t="shared" ca="1" si="250"/>
        <v>23</v>
      </c>
      <c r="Q548" s="304">
        <f t="shared" ca="1" si="251"/>
        <v>0</v>
      </c>
      <c r="R548" s="306">
        <f t="shared" ca="1" si="252"/>
        <v>0</v>
      </c>
      <c r="S548" s="307">
        <f t="shared" ca="1" si="253"/>
        <v>2.9792999999999985</v>
      </c>
      <c r="T548" s="304">
        <f t="shared" ca="1" si="233"/>
        <v>29.226932999999988</v>
      </c>
      <c r="U548" s="311">
        <f t="shared" ca="1" si="234"/>
        <v>0</v>
      </c>
      <c r="V548" s="306">
        <f t="shared" ca="1" si="235"/>
        <v>1.2251219631869221</v>
      </c>
      <c r="W548" s="304">
        <f t="shared" ca="1" si="236"/>
        <v>27.443319048336324</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0.57401428522842579</v>
      </c>
      <c r="AH548" s="304">
        <f t="shared" ca="1" si="260"/>
        <v>-9.2113114807350929</v>
      </c>
    </row>
    <row r="549" spans="1:34" x14ac:dyDescent="0.2">
      <c r="A549" s="347">
        <f t="shared" ca="1" si="238"/>
        <v>1E-4</v>
      </c>
      <c r="B549" s="304">
        <f t="shared" ca="1" si="239"/>
        <v>37.004100000000356</v>
      </c>
      <c r="D549" s="306">
        <f t="shared" ca="1" si="240"/>
        <v>-0.65290111643338522</v>
      </c>
      <c r="E549" s="307">
        <f t="shared" ca="1" si="241"/>
        <v>-0.62183681935948165</v>
      </c>
      <c r="F549" s="304">
        <f t="shared" ca="1" si="242"/>
        <v>0.90164344269288488</v>
      </c>
      <c r="G549" s="306">
        <f t="shared" ca="1" si="243"/>
        <v>7.4133312835019343</v>
      </c>
      <c r="H549" s="307">
        <f t="shared" ca="1" si="244"/>
        <v>-104.32749512369384</v>
      </c>
      <c r="I549" s="304">
        <f t="shared" ca="1" si="245"/>
        <v>104.59055272587152</v>
      </c>
      <c r="J549" s="306">
        <f t="shared" ca="1" si="246"/>
        <v>839.7136314269211</v>
      </c>
      <c r="K549" s="307">
        <f t="shared" ca="1" si="247"/>
        <v>-1.0060010385481135</v>
      </c>
      <c r="L549" s="304">
        <f t="shared" ca="1" si="232"/>
        <v>839.71423403576807</v>
      </c>
      <c r="M549" s="306">
        <f t="shared" ca="1" si="248"/>
        <v>-1.4998572937331449</v>
      </c>
      <c r="N549" s="304">
        <f t="shared" ca="1" si="249"/>
        <v>-85.935492802822623</v>
      </c>
      <c r="P549" s="310">
        <f t="shared" ca="1" si="250"/>
        <v>23</v>
      </c>
      <c r="Q549" s="304">
        <f t="shared" ca="1" si="251"/>
        <v>0</v>
      </c>
      <c r="R549" s="306">
        <f t="shared" ca="1" si="252"/>
        <v>0</v>
      </c>
      <c r="S549" s="307">
        <f t="shared" ca="1" si="253"/>
        <v>2.9792999999999985</v>
      </c>
      <c r="T549" s="304">
        <f t="shared" ca="1" si="233"/>
        <v>29.226932999999988</v>
      </c>
      <c r="U549" s="311">
        <f t="shared" ca="1" si="234"/>
        <v>0</v>
      </c>
      <c r="V549" s="306">
        <f t="shared" ca="1" si="235"/>
        <v>1.2251232413262676</v>
      </c>
      <c r="W549" s="304">
        <f t="shared" ca="1" si="236"/>
        <v>27.443377801234291</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0.57399502683833781</v>
      </c>
      <c r="AH549" s="304">
        <f t="shared" ca="1" si="260"/>
        <v>-9.2113312014017854</v>
      </c>
    </row>
    <row r="550" spans="1:34" x14ac:dyDescent="0.2">
      <c r="A550" s="347">
        <f t="shared" ca="1" si="238"/>
        <v>1E-4</v>
      </c>
      <c r="B550" s="304">
        <f t="shared" ca="1" si="239"/>
        <v>37.00420000000036</v>
      </c>
      <c r="D550" s="306">
        <f t="shared" ca="1" si="240"/>
        <v>-0.65289640576488528</v>
      </c>
      <c r="E550" s="307">
        <f t="shared" ca="1" si="241"/>
        <v>-0.62181671453149079</v>
      </c>
      <c r="F550" s="304">
        <f t="shared" ca="1" si="242"/>
        <v>0.90162616595318668</v>
      </c>
      <c r="G550" s="306">
        <f t="shared" ca="1" si="243"/>
        <v>7.4132659938613577</v>
      </c>
      <c r="H550" s="307">
        <f t="shared" ca="1" si="244"/>
        <v>-104.32755730536529</v>
      </c>
      <c r="I550" s="304">
        <f t="shared" ca="1" si="245"/>
        <v>104.59061012347149</v>
      </c>
      <c r="J550" s="306">
        <f t="shared" ca="1" si="246"/>
        <v>839.7136314269211</v>
      </c>
      <c r="K550" s="307">
        <f t="shared" ca="1" si="247"/>
        <v>-1.0164337911695664</v>
      </c>
      <c r="L550" s="304">
        <f t="shared" ca="1" si="232"/>
        <v>839.71424659930528</v>
      </c>
      <c r="M550" s="306">
        <f t="shared" ca="1" si="248"/>
        <v>-1.4998579585427125</v>
      </c>
      <c r="N550" s="304">
        <f t="shared" ca="1" si="249"/>
        <v>-85.935530893605019</v>
      </c>
      <c r="P550" s="310">
        <f t="shared" ca="1" si="250"/>
        <v>23</v>
      </c>
      <c r="Q550" s="304">
        <f t="shared" ca="1" si="251"/>
        <v>0</v>
      </c>
      <c r="R550" s="306">
        <f t="shared" ca="1" si="252"/>
        <v>0</v>
      </c>
      <c r="S550" s="307">
        <f t="shared" ca="1" si="253"/>
        <v>2.9792999999999985</v>
      </c>
      <c r="T550" s="304">
        <f t="shared" ca="1" si="233"/>
        <v>29.226932999999988</v>
      </c>
      <c r="U550" s="311">
        <f t="shared" ca="1" si="234"/>
        <v>0</v>
      </c>
      <c r="V550" s="306">
        <f t="shared" ca="1" si="235"/>
        <v>1.2251245194677083</v>
      </c>
      <c r="W550" s="304">
        <f t="shared" ca="1" si="236"/>
        <v>27.443436553247953</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0.57397576873616707</v>
      </c>
      <c r="AH550" s="304">
        <f t="shared" ca="1" si="260"/>
        <v>-9.2113509217716594</v>
      </c>
    </row>
    <row r="551" spans="1:34" x14ac:dyDescent="0.2">
      <c r="A551" s="347">
        <f t="shared" ca="1" si="238"/>
        <v>1E-4</v>
      </c>
      <c r="B551" s="304">
        <f t="shared" ca="1" si="239"/>
        <v>37.004300000000363</v>
      </c>
      <c r="D551" s="306">
        <f t="shared" ca="1" si="240"/>
        <v>-0.6528916951094057</v>
      </c>
      <c r="E551" s="307">
        <f t="shared" ca="1" si="241"/>
        <v>-0.62179661000607211</v>
      </c>
      <c r="F551" s="304">
        <f t="shared" ca="1" si="242"/>
        <v>0.90160888957345386</v>
      </c>
      <c r="G551" s="306">
        <f t="shared" ca="1" si="243"/>
        <v>7.4132007046918469</v>
      </c>
      <c r="H551" s="307">
        <f t="shared" ca="1" si="244"/>
        <v>-104.32761948502629</v>
      </c>
      <c r="I551" s="304">
        <f t="shared" ca="1" si="245"/>
        <v>104.59066751914571</v>
      </c>
      <c r="J551" s="306">
        <f t="shared" ca="1" si="246"/>
        <v>839.7136314269211</v>
      </c>
      <c r="K551" s="307">
        <f t="shared" ca="1" si="247"/>
        <v>-1.0268665500090861</v>
      </c>
      <c r="L551" s="304">
        <f t="shared" ca="1" si="232"/>
        <v>839.71425929246823</v>
      </c>
      <c r="M551" s="306">
        <f t="shared" ca="1" si="248"/>
        <v>-1.4998586233456954</v>
      </c>
      <c r="N551" s="304">
        <f t="shared" ca="1" si="249"/>
        <v>-85.935568984010146</v>
      </c>
      <c r="P551" s="310">
        <f t="shared" ca="1" si="250"/>
        <v>23</v>
      </c>
      <c r="Q551" s="304">
        <f t="shared" ca="1" si="251"/>
        <v>0</v>
      </c>
      <c r="R551" s="306">
        <f t="shared" ca="1" si="252"/>
        <v>0</v>
      </c>
      <c r="S551" s="307">
        <f t="shared" ca="1" si="253"/>
        <v>2.9792999999999985</v>
      </c>
      <c r="T551" s="304">
        <f t="shared" ca="1" si="233"/>
        <v>29.226932999999988</v>
      </c>
      <c r="U551" s="311">
        <f t="shared" ca="1" si="234"/>
        <v>0</v>
      </c>
      <c r="V551" s="306">
        <f t="shared" ca="1" si="235"/>
        <v>1.225125797611244</v>
      </c>
      <c r="W551" s="304">
        <f t="shared" ca="1" si="236"/>
        <v>27.443495304377315</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0.57395651092190825</v>
      </c>
      <c r="AH551" s="304">
        <f t="shared" ca="1" si="260"/>
        <v>-9.2113706418447165</v>
      </c>
    </row>
    <row r="552" spans="1:34" x14ac:dyDescent="0.2">
      <c r="A552" s="347">
        <f t="shared" ca="1" si="238"/>
        <v>1E-4</v>
      </c>
      <c r="B552" s="304">
        <f t="shared" ca="1" si="239"/>
        <v>37.004400000000366</v>
      </c>
      <c r="D552" s="306">
        <f t="shared" ca="1" si="240"/>
        <v>-0.6528869844669476</v>
      </c>
      <c r="E552" s="307">
        <f t="shared" ca="1" si="241"/>
        <v>-0.62177650578322208</v>
      </c>
      <c r="F552" s="304">
        <f t="shared" ca="1" si="242"/>
        <v>0.90159161355368511</v>
      </c>
      <c r="G552" s="306">
        <f t="shared" ca="1" si="243"/>
        <v>7.4131354159934002</v>
      </c>
      <c r="H552" s="307">
        <f t="shared" ca="1" si="244"/>
        <v>-104.32768166267687</v>
      </c>
      <c r="I552" s="304">
        <f t="shared" ca="1" si="245"/>
        <v>104.59072491289416</v>
      </c>
      <c r="J552" s="306">
        <f t="shared" ca="1" si="246"/>
        <v>839.7136314269211</v>
      </c>
      <c r="K552" s="307">
        <f t="shared" ca="1" si="247"/>
        <v>-1.0372993150664713</v>
      </c>
      <c r="L552" s="304">
        <f t="shared" ca="1" si="232"/>
        <v>839.71427211525713</v>
      </c>
      <c r="M552" s="306">
        <f t="shared" ca="1" si="248"/>
        <v>-1.4998592881420938</v>
      </c>
      <c r="N552" s="304">
        <f t="shared" ca="1" si="249"/>
        <v>-85.935607074038018</v>
      </c>
      <c r="P552" s="310">
        <f t="shared" ca="1" si="250"/>
        <v>23</v>
      </c>
      <c r="Q552" s="304">
        <f t="shared" ca="1" si="251"/>
        <v>0</v>
      </c>
      <c r="R552" s="306">
        <f t="shared" ca="1" si="252"/>
        <v>0</v>
      </c>
      <c r="S552" s="307">
        <f t="shared" ca="1" si="253"/>
        <v>2.9792999999999985</v>
      </c>
      <c r="T552" s="304">
        <f t="shared" ca="1" si="233"/>
        <v>29.226932999999988</v>
      </c>
      <c r="U552" s="311">
        <f t="shared" ca="1" si="234"/>
        <v>0</v>
      </c>
      <c r="V552" s="306">
        <f t="shared" ca="1" si="235"/>
        <v>1.2251270757568755</v>
      </c>
      <c r="W552" s="304">
        <f t="shared" ca="1" si="236"/>
        <v>27.443554054622396</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0.57393725339555957</v>
      </c>
      <c r="AH552" s="304">
        <f t="shared" ca="1" si="260"/>
        <v>-9.2113903616209605</v>
      </c>
    </row>
    <row r="553" spans="1:34" x14ac:dyDescent="0.2">
      <c r="A553" s="347">
        <f t="shared" ca="1" si="238"/>
        <v>1E-4</v>
      </c>
      <c r="B553" s="304">
        <f t="shared" ca="1" si="239"/>
        <v>37.00450000000037</v>
      </c>
      <c r="D553" s="306">
        <f t="shared" ca="1" si="240"/>
        <v>-0.65288227383751052</v>
      </c>
      <c r="E553" s="307">
        <f t="shared" ca="1" si="241"/>
        <v>-0.62175640186293535</v>
      </c>
      <c r="F553" s="304">
        <f t="shared" ca="1" si="242"/>
        <v>0.90157433789387653</v>
      </c>
      <c r="G553" s="306">
        <f t="shared" ca="1" si="243"/>
        <v>7.4130701277660167</v>
      </c>
      <c r="H553" s="307">
        <f t="shared" ca="1" si="244"/>
        <v>-104.32774383831705</v>
      </c>
      <c r="I553" s="304">
        <f t="shared" ca="1" si="245"/>
        <v>104.59078230471688</v>
      </c>
      <c r="J553" s="306">
        <f t="shared" ca="1" si="246"/>
        <v>839.7136314269211</v>
      </c>
      <c r="K553" s="307">
        <f t="shared" ca="1" si="247"/>
        <v>-1.0477320863415209</v>
      </c>
      <c r="L553" s="304">
        <f t="shared" ca="1" si="232"/>
        <v>839.71428506767222</v>
      </c>
      <c r="M553" s="306">
        <f t="shared" ca="1" si="248"/>
        <v>-1.4998599529319074</v>
      </c>
      <c r="N553" s="304">
        <f t="shared" ca="1" si="249"/>
        <v>-85.935645163688605</v>
      </c>
      <c r="P553" s="310">
        <f t="shared" ca="1" si="250"/>
        <v>23</v>
      </c>
      <c r="Q553" s="304">
        <f t="shared" ca="1" si="251"/>
        <v>0</v>
      </c>
      <c r="R553" s="306">
        <f t="shared" ca="1" si="252"/>
        <v>0</v>
      </c>
      <c r="S553" s="307">
        <f t="shared" ca="1" si="253"/>
        <v>2.9792999999999985</v>
      </c>
      <c r="T553" s="304">
        <f t="shared" ca="1" si="233"/>
        <v>29.226932999999988</v>
      </c>
      <c r="U553" s="311">
        <f t="shared" ca="1" si="234"/>
        <v>0</v>
      </c>
      <c r="V553" s="306">
        <f t="shared" ca="1" si="235"/>
        <v>1.2251283539046023</v>
      </c>
      <c r="W553" s="304">
        <f t="shared" ca="1" si="236"/>
        <v>27.4436128039832</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0.57391799615711747</v>
      </c>
      <c r="AH553" s="304">
        <f t="shared" ca="1" si="260"/>
        <v>-9.2114100811003965</v>
      </c>
    </row>
    <row r="554" spans="1:34" x14ac:dyDescent="0.2">
      <c r="A554" s="347">
        <f t="shared" ca="1" si="238"/>
        <v>1E-4</v>
      </c>
      <c r="B554" s="304">
        <f t="shared" ca="1" si="239"/>
        <v>37.004600000000373</v>
      </c>
      <c r="D554" s="306">
        <f t="shared" ca="1" si="240"/>
        <v>-0.65287756322109736</v>
      </c>
      <c r="E554" s="307">
        <f t="shared" ca="1" si="241"/>
        <v>-0.62173629824521015</v>
      </c>
      <c r="F554" s="304">
        <f t="shared" ca="1" si="242"/>
        <v>0.90155706259402946</v>
      </c>
      <c r="G554" s="306">
        <f t="shared" ca="1" si="243"/>
        <v>7.4130048400096946</v>
      </c>
      <c r="H554" s="307">
        <f t="shared" ca="1" si="244"/>
        <v>-104.32780601194688</v>
      </c>
      <c r="I554" s="304">
        <f t="shared" ca="1" si="245"/>
        <v>104.59083969461392</v>
      </c>
      <c r="J554" s="306">
        <f t="shared" ca="1" si="246"/>
        <v>839.7136314269211</v>
      </c>
      <c r="K554" s="307">
        <f t="shared" ca="1" si="247"/>
        <v>-1.0581648638340342</v>
      </c>
      <c r="L554" s="304">
        <f t="shared" ca="1" si="232"/>
        <v>839.71429814971361</v>
      </c>
      <c r="M554" s="306">
        <f t="shared" ca="1" si="248"/>
        <v>-1.4998606177151368</v>
      </c>
      <c r="N554" s="304">
        <f t="shared" ca="1" si="249"/>
        <v>-85.935683252961937</v>
      </c>
      <c r="P554" s="310">
        <f t="shared" ca="1" si="250"/>
        <v>23</v>
      </c>
      <c r="Q554" s="304">
        <f t="shared" ca="1" si="251"/>
        <v>0</v>
      </c>
      <c r="R554" s="306">
        <f t="shared" ca="1" si="252"/>
        <v>0</v>
      </c>
      <c r="S554" s="307">
        <f t="shared" ca="1" si="253"/>
        <v>2.9792999999999985</v>
      </c>
      <c r="T554" s="304">
        <f t="shared" ca="1" si="233"/>
        <v>29.226932999999988</v>
      </c>
      <c r="U554" s="311">
        <f t="shared" ca="1" si="234"/>
        <v>0</v>
      </c>
      <c r="V554" s="306">
        <f t="shared" ca="1" si="235"/>
        <v>1.2251296320544238</v>
      </c>
      <c r="W554" s="304">
        <f t="shared" ca="1" si="236"/>
        <v>27.443671552459737</v>
      </c>
      <c r="Y554" s="314" t="str">
        <f t="shared" ca="1" si="254"/>
        <v/>
      </c>
      <c r="Z554" s="315" t="str">
        <f t="shared" ca="1" si="255"/>
        <v/>
      </c>
      <c r="AA554" s="316" t="str">
        <f t="shared" ca="1" si="256"/>
        <v/>
      </c>
      <c r="AC554" s="310" t="e">
        <f t="shared" ca="1" si="257"/>
        <v>#N/A</v>
      </c>
      <c r="AD554" s="323" t="e">
        <f t="shared" ca="1" si="258"/>
        <v>#N/A</v>
      </c>
      <c r="AE554" s="324" t="e">
        <f t="shared" ca="1" si="237"/>
        <v>#N/A</v>
      </c>
      <c r="AG554" s="306">
        <f t="shared" ca="1" si="259"/>
        <v>0.57389873920658019</v>
      </c>
      <c r="AH554" s="304">
        <f t="shared" ca="1" si="260"/>
        <v>-9.2114298002830246</v>
      </c>
    </row>
    <row r="555" spans="1:34" x14ac:dyDescent="0.2">
      <c r="A555" s="347">
        <f t="shared" ca="1" si="238"/>
        <v>1E-4</v>
      </c>
      <c r="B555" s="304">
        <f t="shared" ca="1" si="239"/>
        <v>37.004700000000376</v>
      </c>
      <c r="D555" s="306">
        <f t="shared" ca="1" si="240"/>
        <v>-0.65287285261770533</v>
      </c>
      <c r="E555" s="307">
        <f t="shared" ca="1" si="241"/>
        <v>-0.62171619493004471</v>
      </c>
      <c r="F555" s="304">
        <f t="shared" ca="1" si="242"/>
        <v>0.90153978765414078</v>
      </c>
      <c r="G555" s="306">
        <f t="shared" ca="1" si="243"/>
        <v>7.4129395527244331</v>
      </c>
      <c r="H555" s="307">
        <f t="shared" ca="1" si="244"/>
        <v>-104.32786818356637</v>
      </c>
      <c r="I555" s="304">
        <f t="shared" ca="1" si="245"/>
        <v>104.59089708258529</v>
      </c>
      <c r="J555" s="306">
        <f t="shared" ca="1" si="246"/>
        <v>839.7136314269211</v>
      </c>
      <c r="K555" s="307">
        <f t="shared" ca="1" si="247"/>
        <v>-1.0685976475438099</v>
      </c>
      <c r="L555" s="304">
        <f t="shared" ca="1" si="232"/>
        <v>839.71431136138165</v>
      </c>
      <c r="M555" s="306">
        <f t="shared" ca="1" si="248"/>
        <v>-1.4998612824917819</v>
      </c>
      <c r="N555" s="304">
        <f t="shared" ca="1" si="249"/>
        <v>-85.935721341858013</v>
      </c>
      <c r="P555" s="310">
        <f t="shared" ca="1" si="250"/>
        <v>23</v>
      </c>
      <c r="Q555" s="304">
        <f t="shared" ca="1" si="251"/>
        <v>0</v>
      </c>
      <c r="R555" s="306">
        <f t="shared" ca="1" si="252"/>
        <v>0</v>
      </c>
      <c r="S555" s="307">
        <f t="shared" ca="1" si="253"/>
        <v>2.9792999999999985</v>
      </c>
      <c r="T555" s="304">
        <f t="shared" ca="1" si="233"/>
        <v>29.226932999999988</v>
      </c>
      <c r="U555" s="311">
        <f t="shared" ca="1" si="234"/>
        <v>0</v>
      </c>
      <c r="V555" s="306">
        <f t="shared" ca="1" si="235"/>
        <v>1.225130910206341</v>
      </c>
      <c r="W555" s="304">
        <f t="shared" ca="1" si="236"/>
        <v>27.443730300052028</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0.57387948254394239</v>
      </c>
      <c r="AH555" s="304">
        <f t="shared" ca="1" si="260"/>
        <v>-9.2114495191688484</v>
      </c>
    </row>
    <row r="556" spans="1:34" x14ac:dyDescent="0.2">
      <c r="A556" s="347">
        <f t="shared" ca="1" si="238"/>
        <v>1E-4</v>
      </c>
      <c r="B556" s="304">
        <f t="shared" ca="1" si="239"/>
        <v>37.00480000000038</v>
      </c>
      <c r="D556" s="306">
        <f t="shared" ca="1" si="240"/>
        <v>-0.65286814202733601</v>
      </c>
      <c r="E556" s="307">
        <f t="shared" ca="1" si="241"/>
        <v>-0.62169609191742836</v>
      </c>
      <c r="F556" s="304">
        <f t="shared" ca="1" si="242"/>
        <v>0.9015225130742045</v>
      </c>
      <c r="G556" s="306">
        <f t="shared" ca="1" si="243"/>
        <v>7.4128742659102302</v>
      </c>
      <c r="H556" s="307">
        <f t="shared" ca="1" si="244"/>
        <v>-104.32793035317556</v>
      </c>
      <c r="I556" s="304">
        <f t="shared" ca="1" si="245"/>
        <v>104.59095446863101</v>
      </c>
      <c r="J556" s="306">
        <f t="shared" ca="1" si="246"/>
        <v>839.7136314269211</v>
      </c>
      <c r="K556" s="307">
        <f t="shared" ca="1" si="247"/>
        <v>-1.079030437470647</v>
      </c>
      <c r="L556" s="304">
        <f t="shared" ca="1" si="232"/>
        <v>839.71432470267655</v>
      </c>
      <c r="M556" s="306">
        <f t="shared" ca="1" si="248"/>
        <v>-1.4998619472618426</v>
      </c>
      <c r="N556" s="304">
        <f t="shared" ca="1" si="249"/>
        <v>-85.935759430376848</v>
      </c>
      <c r="P556" s="310">
        <f t="shared" ca="1" si="250"/>
        <v>23</v>
      </c>
      <c r="Q556" s="304">
        <f t="shared" ca="1" si="251"/>
        <v>0</v>
      </c>
      <c r="R556" s="306">
        <f t="shared" ca="1" si="252"/>
        <v>0</v>
      </c>
      <c r="S556" s="307">
        <f t="shared" ca="1" si="253"/>
        <v>2.9792999999999985</v>
      </c>
      <c r="T556" s="304">
        <f t="shared" ca="1" si="233"/>
        <v>29.226932999999988</v>
      </c>
      <c r="U556" s="311">
        <f t="shared" ca="1" si="234"/>
        <v>0</v>
      </c>
      <c r="V556" s="306">
        <f t="shared" ca="1" si="235"/>
        <v>1.2251321883603534</v>
      </c>
      <c r="W556" s="304">
        <f t="shared" ca="1" si="236"/>
        <v>27.44378904676007</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0.57386022616919874</v>
      </c>
      <c r="AH556" s="304">
        <f t="shared" ca="1" si="260"/>
        <v>-9.2114692377578766</v>
      </c>
    </row>
    <row r="557" spans="1:34" x14ac:dyDescent="0.2">
      <c r="A557" s="347">
        <f t="shared" ca="1" si="238"/>
        <v>1E-4</v>
      </c>
      <c r="B557" s="304">
        <f t="shared" ca="1" si="239"/>
        <v>37.004900000000383</v>
      </c>
      <c r="D557" s="306">
        <f t="shared" ca="1" si="240"/>
        <v>-0.65286343144999037</v>
      </c>
      <c r="E557" s="307">
        <f t="shared" ca="1" si="241"/>
        <v>-0.62167598920736644</v>
      </c>
      <c r="F557" s="304">
        <f t="shared" ca="1" si="242"/>
        <v>0.90150523885422529</v>
      </c>
      <c r="G557" s="306">
        <f t="shared" ca="1" si="243"/>
        <v>7.4128089795670853</v>
      </c>
      <c r="H557" s="307">
        <f t="shared" ca="1" si="244"/>
        <v>-104.32799252077449</v>
      </c>
      <c r="I557" s="304">
        <f t="shared" ca="1" si="245"/>
        <v>104.59101185275112</v>
      </c>
      <c r="J557" s="306">
        <f t="shared" ca="1" si="246"/>
        <v>839.7136314269211</v>
      </c>
      <c r="K557" s="307">
        <f t="shared" ca="1" si="247"/>
        <v>-1.0894632336143444</v>
      </c>
      <c r="L557" s="304">
        <f t="shared" ca="1" si="232"/>
        <v>839.71433817359855</v>
      </c>
      <c r="M557" s="306">
        <f t="shared" ca="1" si="248"/>
        <v>-1.4998626120253191</v>
      </c>
      <c r="N557" s="304">
        <f t="shared" ca="1" si="249"/>
        <v>-85.935797518518413</v>
      </c>
      <c r="P557" s="310">
        <f t="shared" ca="1" si="250"/>
        <v>23</v>
      </c>
      <c r="Q557" s="304">
        <f t="shared" ca="1" si="251"/>
        <v>0</v>
      </c>
      <c r="R557" s="306">
        <f t="shared" ca="1" si="252"/>
        <v>0</v>
      </c>
      <c r="S557" s="307">
        <f t="shared" ca="1" si="253"/>
        <v>2.9792999999999985</v>
      </c>
      <c r="T557" s="304">
        <f t="shared" ca="1" si="233"/>
        <v>29.226932999999988</v>
      </c>
      <c r="U557" s="311">
        <f t="shared" ca="1" si="234"/>
        <v>0</v>
      </c>
      <c r="V557" s="306">
        <f t="shared" ca="1" si="235"/>
        <v>1.2251334665164608</v>
      </c>
      <c r="W557" s="304">
        <f t="shared" ca="1" si="236"/>
        <v>27.443847792583878</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0.57384097008235102</v>
      </c>
      <c r="AH557" s="304">
        <f t="shared" ca="1" si="260"/>
        <v>-9.2114889560501076</v>
      </c>
    </row>
    <row r="558" spans="1:34" x14ac:dyDescent="0.2">
      <c r="A558" s="347">
        <f t="shared" ca="1" si="238"/>
        <v>1E-4</v>
      </c>
      <c r="B558" s="304">
        <f t="shared" ca="1" si="239"/>
        <v>37.005000000000386</v>
      </c>
      <c r="D558" s="306">
        <f t="shared" ca="1" si="240"/>
        <v>-0.65285872088566943</v>
      </c>
      <c r="E558" s="307">
        <f t="shared" ca="1" si="241"/>
        <v>-0.62165588679985007</v>
      </c>
      <c r="F558" s="304">
        <f t="shared" ca="1" si="242"/>
        <v>0.90148796499419803</v>
      </c>
      <c r="G558" s="306">
        <f t="shared" ca="1" si="243"/>
        <v>7.4127436936949964</v>
      </c>
      <c r="H558" s="307">
        <f t="shared" ca="1" si="244"/>
        <v>-104.32805468636316</v>
      </c>
      <c r="I558" s="304">
        <f t="shared" ca="1" si="245"/>
        <v>104.59106923494566</v>
      </c>
      <c r="J558" s="306">
        <f t="shared" ca="1" si="246"/>
        <v>839.7136314269211</v>
      </c>
      <c r="K558" s="307">
        <f t="shared" ca="1" si="247"/>
        <v>-1.0998960359747012</v>
      </c>
      <c r="L558" s="304">
        <f t="shared" ca="1" si="232"/>
        <v>839.71435177414764</v>
      </c>
      <c r="M558" s="306">
        <f t="shared" ca="1" si="248"/>
        <v>-1.4998632767822118</v>
      </c>
      <c r="N558" s="304">
        <f t="shared" ca="1" si="249"/>
        <v>-85.935835606282765</v>
      </c>
      <c r="P558" s="310">
        <f t="shared" ca="1" si="250"/>
        <v>23</v>
      </c>
      <c r="Q558" s="304">
        <f t="shared" ca="1" si="251"/>
        <v>0</v>
      </c>
      <c r="R558" s="306">
        <f t="shared" ca="1" si="252"/>
        <v>0</v>
      </c>
      <c r="S558" s="307">
        <f t="shared" ca="1" si="253"/>
        <v>2.9792999999999985</v>
      </c>
      <c r="T558" s="304">
        <f t="shared" ca="1" si="233"/>
        <v>29.226932999999988</v>
      </c>
      <c r="U558" s="311">
        <f t="shared" ca="1" si="234"/>
        <v>0</v>
      </c>
      <c r="V558" s="306">
        <f t="shared" ca="1" si="235"/>
        <v>1.2251347446746637</v>
      </c>
      <c r="W558" s="304">
        <f t="shared" ca="1" si="236"/>
        <v>27.443906537523464</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0.5738217142833939</v>
      </c>
      <c r="AH558" s="304">
        <f t="shared" ca="1" si="260"/>
        <v>-9.211508674045545</v>
      </c>
    </row>
    <row r="559" spans="1:34" x14ac:dyDescent="0.2">
      <c r="A559" s="347">
        <f t="shared" ca="1" si="238"/>
        <v>1E-4</v>
      </c>
      <c r="B559" s="304">
        <f t="shared" ca="1" si="239"/>
        <v>37.00510000000039</v>
      </c>
      <c r="D559" s="306">
        <f t="shared" ca="1" si="240"/>
        <v>-0.65285401033437074</v>
      </c>
      <c r="E559" s="307">
        <f t="shared" ca="1" si="241"/>
        <v>-0.62163578469487923</v>
      </c>
      <c r="F559" s="304">
        <f t="shared" ca="1" si="242"/>
        <v>0.90147069149412118</v>
      </c>
      <c r="G559" s="306">
        <f t="shared" ca="1" si="243"/>
        <v>7.4126784082939627</v>
      </c>
      <c r="H559" s="307">
        <f t="shared" ca="1" si="244"/>
        <v>-104.32811684994162</v>
      </c>
      <c r="I559" s="304">
        <f t="shared" ca="1" si="245"/>
        <v>104.59112661521465</v>
      </c>
      <c r="J559" s="306">
        <f t="shared" ca="1" si="246"/>
        <v>839.7136314269211</v>
      </c>
      <c r="K559" s="307">
        <f t="shared" ca="1" si="247"/>
        <v>-1.1103288445515165</v>
      </c>
      <c r="L559" s="304">
        <f t="shared" ca="1" si="232"/>
        <v>839.71436550432441</v>
      </c>
      <c r="M559" s="306">
        <f t="shared" ca="1" si="248"/>
        <v>-1.4998639415325201</v>
      </c>
      <c r="N559" s="304">
        <f t="shared" ca="1" si="249"/>
        <v>-85.935873693669876</v>
      </c>
      <c r="P559" s="310">
        <f t="shared" ca="1" si="250"/>
        <v>23</v>
      </c>
      <c r="Q559" s="304">
        <f t="shared" ca="1" si="251"/>
        <v>0</v>
      </c>
      <c r="R559" s="306">
        <f t="shared" ca="1" si="252"/>
        <v>0</v>
      </c>
      <c r="S559" s="307">
        <f t="shared" ca="1" si="253"/>
        <v>2.9792999999999985</v>
      </c>
      <c r="T559" s="304">
        <f t="shared" ca="1" si="233"/>
        <v>29.226932999999988</v>
      </c>
      <c r="U559" s="311">
        <f t="shared" ca="1" si="234"/>
        <v>0</v>
      </c>
      <c r="V559" s="306">
        <f t="shared" ca="1" si="235"/>
        <v>1.2251360228349617</v>
      </c>
      <c r="W559" s="304">
        <f t="shared" ca="1" si="236"/>
        <v>27.44396528157883</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0.57380245877232383</v>
      </c>
      <c r="AH559" s="304">
        <f t="shared" ca="1" si="260"/>
        <v>-9.2115283917441939</v>
      </c>
    </row>
    <row r="560" spans="1:34" x14ac:dyDescent="0.2">
      <c r="A560" s="347">
        <f t="shared" ca="1" si="238"/>
        <v>1E-4</v>
      </c>
      <c r="B560" s="304">
        <f t="shared" ca="1" si="239"/>
        <v>37.005200000000393</v>
      </c>
      <c r="D560" s="306">
        <f t="shared" ca="1" si="240"/>
        <v>-0.65284929979609929</v>
      </c>
      <c r="E560" s="307">
        <f t="shared" ca="1" si="241"/>
        <v>-0.62161568289244684</v>
      </c>
      <c r="F560" s="304">
        <f t="shared" ca="1" si="242"/>
        <v>0.90145341835399362</v>
      </c>
      <c r="G560" s="306">
        <f t="shared" ca="1" si="243"/>
        <v>7.4126131233639834</v>
      </c>
      <c r="H560" s="307">
        <f t="shared" ca="1" si="244"/>
        <v>-104.32817901150992</v>
      </c>
      <c r="I560" s="304">
        <f t="shared" ca="1" si="245"/>
        <v>104.5911839935581</v>
      </c>
      <c r="J560" s="306">
        <f t="shared" ca="1" si="246"/>
        <v>839.7136314269211</v>
      </c>
      <c r="K560" s="307">
        <f t="shared" ca="1" si="247"/>
        <v>-1.120761659344589</v>
      </c>
      <c r="L560" s="304">
        <f t="shared" ca="1" si="232"/>
        <v>839.71437936412883</v>
      </c>
      <c r="M560" s="306">
        <f t="shared" ca="1" si="248"/>
        <v>-1.4998646062762446</v>
      </c>
      <c r="N560" s="304">
        <f t="shared" ca="1" si="249"/>
        <v>-85.935911780679746</v>
      </c>
      <c r="P560" s="310">
        <f t="shared" ca="1" si="250"/>
        <v>23</v>
      </c>
      <c r="Q560" s="304">
        <f t="shared" ca="1" si="251"/>
        <v>0</v>
      </c>
      <c r="R560" s="306">
        <f t="shared" ca="1" si="252"/>
        <v>0</v>
      </c>
      <c r="S560" s="307">
        <f t="shared" ca="1" si="253"/>
        <v>2.9792999999999985</v>
      </c>
      <c r="T560" s="304">
        <f t="shared" ca="1" si="233"/>
        <v>29.226932999999988</v>
      </c>
      <c r="U560" s="311">
        <f t="shared" ca="1" si="234"/>
        <v>0</v>
      </c>
      <c r="V560" s="306">
        <f t="shared" ca="1" si="235"/>
        <v>1.2251373009973545</v>
      </c>
      <c r="W560" s="304">
        <f t="shared" ca="1" si="236"/>
        <v>27.444024024749993</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0.57378320354913726</v>
      </c>
      <c r="AH560" s="304">
        <f t="shared" ca="1" si="260"/>
        <v>-9.2115481091460563</v>
      </c>
    </row>
    <row r="561" spans="1:34" x14ac:dyDescent="0.2">
      <c r="A561" s="347">
        <f t="shared" ca="1" si="238"/>
        <v>1E-4</v>
      </c>
      <c r="B561" s="304">
        <f t="shared" ca="1" si="239"/>
        <v>37.005300000000396</v>
      </c>
      <c r="D561" s="306">
        <f t="shared" ca="1" si="240"/>
        <v>-0.65284458927085243</v>
      </c>
      <c r="E561" s="307">
        <f t="shared" ca="1" si="241"/>
        <v>-0.62159558139255289</v>
      </c>
      <c r="F561" s="304">
        <f t="shared" ca="1" si="242"/>
        <v>0.90143614557381369</v>
      </c>
      <c r="G561" s="306">
        <f t="shared" ca="1" si="243"/>
        <v>7.4125478389050565</v>
      </c>
      <c r="H561" s="307">
        <f t="shared" ca="1" si="244"/>
        <v>-104.32824117106806</v>
      </c>
      <c r="I561" s="304">
        <f t="shared" ca="1" si="245"/>
        <v>104.59124136997609</v>
      </c>
      <c r="J561" s="306">
        <f t="shared" ca="1" si="246"/>
        <v>839.7136314269211</v>
      </c>
      <c r="K561" s="307">
        <f t="shared" ca="1" si="247"/>
        <v>-1.1311944803537179</v>
      </c>
      <c r="L561" s="304">
        <f t="shared" ca="1" si="232"/>
        <v>839.71439335356138</v>
      </c>
      <c r="M561" s="306">
        <f t="shared" ca="1" si="248"/>
        <v>-1.4998652710133853</v>
      </c>
      <c r="N561" s="304">
        <f t="shared" ca="1" si="249"/>
        <v>-85.935949867312388</v>
      </c>
      <c r="P561" s="310">
        <f t="shared" ca="1" si="250"/>
        <v>23</v>
      </c>
      <c r="Q561" s="304">
        <f t="shared" ca="1" si="251"/>
        <v>0</v>
      </c>
      <c r="R561" s="306">
        <f t="shared" ca="1" si="252"/>
        <v>0</v>
      </c>
      <c r="S561" s="307">
        <f t="shared" ca="1" si="253"/>
        <v>2.9792999999999985</v>
      </c>
      <c r="T561" s="304">
        <f t="shared" ca="1" si="233"/>
        <v>29.226932999999988</v>
      </c>
      <c r="U561" s="311">
        <f t="shared" ca="1" si="234"/>
        <v>0</v>
      </c>
      <c r="V561" s="306">
        <f t="shared" ca="1" si="235"/>
        <v>1.2251385791618423</v>
      </c>
      <c r="W561" s="304">
        <f t="shared" ca="1" si="236"/>
        <v>27.44408276703696</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0.5737639486138324</v>
      </c>
      <c r="AH561" s="304">
        <f t="shared" ca="1" si="260"/>
        <v>-9.2115678262511356</v>
      </c>
    </row>
    <row r="562" spans="1:34" x14ac:dyDescent="0.2">
      <c r="A562" s="347">
        <f t="shared" ca="1" si="238"/>
        <v>1E-4</v>
      </c>
      <c r="B562" s="304">
        <f t="shared" ca="1" si="239"/>
        <v>37.0054000000004</v>
      </c>
      <c r="D562" s="306">
        <f t="shared" ca="1" si="240"/>
        <v>-0.65283987875863114</v>
      </c>
      <c r="E562" s="307">
        <f t="shared" ca="1" si="241"/>
        <v>-0.6215754801951956</v>
      </c>
      <c r="F562" s="304">
        <f t="shared" ca="1" si="242"/>
        <v>0.90141887315358127</v>
      </c>
      <c r="G562" s="306">
        <f t="shared" ca="1" si="243"/>
        <v>7.4124825549171804</v>
      </c>
      <c r="H562" s="307">
        <f t="shared" ca="1" si="244"/>
        <v>-104.32830332861607</v>
      </c>
      <c r="I562" s="304">
        <f t="shared" ca="1" si="245"/>
        <v>104.59129874446859</v>
      </c>
      <c r="J562" s="306">
        <f t="shared" ca="1" si="246"/>
        <v>839.7136314269211</v>
      </c>
      <c r="K562" s="307">
        <f t="shared" ca="1" si="247"/>
        <v>-1.1416273075787022</v>
      </c>
      <c r="L562" s="304">
        <f t="shared" ca="1" si="232"/>
        <v>839.71440747262193</v>
      </c>
      <c r="M562" s="306">
        <f t="shared" ca="1" si="248"/>
        <v>-1.4998659357439421</v>
      </c>
      <c r="N562" s="304">
        <f t="shared" ca="1" si="249"/>
        <v>-85.935987953567803</v>
      </c>
      <c r="P562" s="310">
        <f t="shared" ca="1" si="250"/>
        <v>23</v>
      </c>
      <c r="Q562" s="304">
        <f t="shared" ca="1" si="251"/>
        <v>0</v>
      </c>
      <c r="R562" s="306">
        <f t="shared" ca="1" si="252"/>
        <v>0</v>
      </c>
      <c r="S562" s="307">
        <f t="shared" ca="1" si="253"/>
        <v>2.9792999999999985</v>
      </c>
      <c r="T562" s="304">
        <f t="shared" ca="1" si="233"/>
        <v>29.226932999999988</v>
      </c>
      <c r="U562" s="311">
        <f t="shared" ca="1" si="234"/>
        <v>0</v>
      </c>
      <c r="V562" s="306">
        <f t="shared" ca="1" si="235"/>
        <v>1.2251398573284256</v>
      </c>
      <c r="W562" s="304">
        <f t="shared" ca="1" si="236"/>
        <v>27.444141508439742</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0.57374469396640571</v>
      </c>
      <c r="AH562" s="304">
        <f t="shared" ca="1" si="260"/>
        <v>-9.2115875430594354</v>
      </c>
    </row>
    <row r="563" spans="1:34" x14ac:dyDescent="0.2">
      <c r="A563" s="347">
        <f t="shared" ca="1" si="238"/>
        <v>1E-4</v>
      </c>
      <c r="B563" s="304">
        <f t="shared" ca="1" si="239"/>
        <v>37.005500000000403</v>
      </c>
      <c r="D563" s="306">
        <f t="shared" ca="1" si="240"/>
        <v>-0.65283516825943666</v>
      </c>
      <c r="E563" s="307">
        <f t="shared" ca="1" si="241"/>
        <v>-0.62155537930036786</v>
      </c>
      <c r="F563" s="304">
        <f t="shared" ca="1" si="242"/>
        <v>0.90140160109329248</v>
      </c>
      <c r="G563" s="306">
        <f t="shared" ca="1" si="243"/>
        <v>7.4124172714003542</v>
      </c>
      <c r="H563" s="307">
        <f t="shared" ca="1" si="244"/>
        <v>-104.32836548415401</v>
      </c>
      <c r="I563" s="304">
        <f t="shared" ca="1" si="245"/>
        <v>104.59135611703566</v>
      </c>
      <c r="J563" s="306">
        <f t="shared" ca="1" si="246"/>
        <v>839.7136314269211</v>
      </c>
      <c r="K563" s="307">
        <f t="shared" ca="1" si="247"/>
        <v>-1.1520601410193407</v>
      </c>
      <c r="L563" s="304">
        <f t="shared" ca="1" si="232"/>
        <v>839.71442172131094</v>
      </c>
      <c r="M563" s="306">
        <f t="shared" ca="1" si="248"/>
        <v>-1.4998666004679153</v>
      </c>
      <c r="N563" s="304">
        <f t="shared" ca="1" si="249"/>
        <v>-85.936026039446006</v>
      </c>
      <c r="P563" s="310">
        <f t="shared" ca="1" si="250"/>
        <v>23</v>
      </c>
      <c r="Q563" s="304">
        <f t="shared" ca="1" si="251"/>
        <v>0</v>
      </c>
      <c r="R563" s="306">
        <f t="shared" ca="1" si="252"/>
        <v>0</v>
      </c>
      <c r="S563" s="307">
        <f t="shared" ca="1" si="253"/>
        <v>2.9792999999999985</v>
      </c>
      <c r="T563" s="304">
        <f t="shared" ca="1" si="233"/>
        <v>29.226932999999988</v>
      </c>
      <c r="U563" s="311">
        <f t="shared" ca="1" si="234"/>
        <v>0</v>
      </c>
      <c r="V563" s="306">
        <f t="shared" ca="1" si="235"/>
        <v>1.225141135497104</v>
      </c>
      <c r="W563" s="304">
        <f t="shared" ca="1" si="236"/>
        <v>27.444200248958364</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0.5737254396068554</v>
      </c>
      <c r="AH563" s="304">
        <f t="shared" ca="1" si="260"/>
        <v>-9.2116072595709575</v>
      </c>
    </row>
    <row r="564" spans="1:34" x14ac:dyDescent="0.2">
      <c r="A564" s="347">
        <f t="shared" ca="1" si="238"/>
        <v>1E-4</v>
      </c>
      <c r="B564" s="304">
        <f t="shared" ca="1" si="239"/>
        <v>37.005600000000406</v>
      </c>
      <c r="D564" s="306">
        <f t="shared" ca="1" si="240"/>
        <v>-0.65283045777326898</v>
      </c>
      <c r="E564" s="307">
        <f t="shared" ca="1" si="241"/>
        <v>-0.62153527870805725</v>
      </c>
      <c r="F564" s="304">
        <f t="shared" ca="1" si="242"/>
        <v>0.901384329392939</v>
      </c>
      <c r="G564" s="306">
        <f t="shared" ca="1" si="243"/>
        <v>7.412351988354577</v>
      </c>
      <c r="H564" s="307">
        <f t="shared" ca="1" si="244"/>
        <v>-104.32842763768187</v>
      </c>
      <c r="I564" s="304">
        <f t="shared" ca="1" si="245"/>
        <v>104.5914134876773</v>
      </c>
      <c r="J564" s="306">
        <f t="shared" ca="1" si="246"/>
        <v>839.7136314269211</v>
      </c>
      <c r="K564" s="307">
        <f t="shared" ca="1" si="247"/>
        <v>-1.1624929806754325</v>
      </c>
      <c r="L564" s="304">
        <f t="shared" ca="1" si="232"/>
        <v>839.71443609962864</v>
      </c>
      <c r="M564" s="306">
        <f t="shared" ca="1" si="248"/>
        <v>-1.4998672651853047</v>
      </c>
      <c r="N564" s="304">
        <f t="shared" ca="1" si="249"/>
        <v>-85.936064124946995</v>
      </c>
      <c r="P564" s="310">
        <f t="shared" ca="1" si="250"/>
        <v>23</v>
      </c>
      <c r="Q564" s="304">
        <f t="shared" ca="1" si="251"/>
        <v>0</v>
      </c>
      <c r="R564" s="306">
        <f t="shared" ca="1" si="252"/>
        <v>0</v>
      </c>
      <c r="S564" s="307">
        <f t="shared" ca="1" si="253"/>
        <v>2.9792999999999985</v>
      </c>
      <c r="T564" s="304">
        <f t="shared" ca="1" si="233"/>
        <v>29.226932999999988</v>
      </c>
      <c r="U564" s="311">
        <f t="shared" ca="1" si="234"/>
        <v>0</v>
      </c>
      <c r="V564" s="306">
        <f t="shared" ca="1" si="235"/>
        <v>1.2251424136678772</v>
      </c>
      <c r="W564" s="304">
        <f t="shared" ca="1" si="236"/>
        <v>27.444258988592793</v>
      </c>
      <c r="Y564" s="314" t="str">
        <f t="shared" ca="1" si="254"/>
        <v/>
      </c>
      <c r="Z564" s="315" t="str">
        <f t="shared" ca="1" si="255"/>
        <v/>
      </c>
      <c r="AA564" s="316" t="str">
        <f t="shared" ca="1" si="256"/>
        <v/>
      </c>
      <c r="AC564" s="310" t="e">
        <f t="shared" ca="1" si="257"/>
        <v>#N/A</v>
      </c>
      <c r="AD564" s="323" t="e">
        <f t="shared" ca="1" si="258"/>
        <v>#N/A</v>
      </c>
      <c r="AE564" s="324" t="e">
        <f t="shared" ca="1" si="237"/>
        <v>#N/A</v>
      </c>
      <c r="AG564" s="306">
        <f t="shared" ca="1" si="259"/>
        <v>0.57370618553517083</v>
      </c>
      <c r="AH564" s="304">
        <f t="shared" ca="1" si="260"/>
        <v>-9.2116269757857143</v>
      </c>
    </row>
    <row r="565" spans="1:34" x14ac:dyDescent="0.2">
      <c r="A565" s="347">
        <f t="shared" ca="1" si="238"/>
        <v>1E-4</v>
      </c>
      <c r="B565" s="304">
        <f t="shared" ca="1" si="239"/>
        <v>37.005700000000409</v>
      </c>
      <c r="D565" s="306">
        <f t="shared" ca="1" si="240"/>
        <v>-0.65282574730012999</v>
      </c>
      <c r="E565" s="307">
        <f t="shared" ca="1" si="241"/>
        <v>-0.6215151784182833</v>
      </c>
      <c r="F565" s="304">
        <f t="shared" ca="1" si="242"/>
        <v>0.90136705805253592</v>
      </c>
      <c r="G565" s="306">
        <f t="shared" ca="1" si="243"/>
        <v>7.4122867057798469</v>
      </c>
      <c r="H565" s="307">
        <f t="shared" ca="1" si="244"/>
        <v>-104.32848978919971</v>
      </c>
      <c r="I565" s="304">
        <f t="shared" ca="1" si="245"/>
        <v>104.59147085639358</v>
      </c>
      <c r="J565" s="306">
        <f t="shared" ca="1" si="246"/>
        <v>839.7136314269211</v>
      </c>
      <c r="K565" s="307">
        <f t="shared" ca="1" si="247"/>
        <v>-1.1729258265467766</v>
      </c>
      <c r="L565" s="304">
        <f t="shared" ca="1" si="232"/>
        <v>839.71445060757515</v>
      </c>
      <c r="M565" s="306">
        <f t="shared" ca="1" si="248"/>
        <v>-1.4998679298961108</v>
      </c>
      <c r="N565" s="304">
        <f t="shared" ca="1" si="249"/>
        <v>-85.936102210070786</v>
      </c>
      <c r="P565" s="310">
        <f t="shared" ca="1" si="250"/>
        <v>23</v>
      </c>
      <c r="Q565" s="304">
        <f t="shared" ca="1" si="251"/>
        <v>0</v>
      </c>
      <c r="R565" s="306">
        <f t="shared" ca="1" si="252"/>
        <v>0</v>
      </c>
      <c r="S565" s="307">
        <f t="shared" ca="1" si="253"/>
        <v>2.9792999999999985</v>
      </c>
      <c r="T565" s="304">
        <f t="shared" ca="1" si="233"/>
        <v>29.226932999999988</v>
      </c>
      <c r="U565" s="311">
        <f t="shared" ca="1" si="234"/>
        <v>0</v>
      </c>
      <c r="V565" s="306">
        <f t="shared" ca="1" si="235"/>
        <v>1.2251436918407457</v>
      </c>
      <c r="W565" s="304">
        <f t="shared" ca="1" si="236"/>
        <v>27.44431772734309</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0.57368693175136265</v>
      </c>
      <c r="AH565" s="304">
        <f t="shared" ca="1" si="260"/>
        <v>-9.2116466917036917</v>
      </c>
    </row>
    <row r="566" spans="1:34" x14ac:dyDescent="0.2">
      <c r="A566" s="347">
        <f t="shared" ca="1" si="238"/>
        <v>1E-4</v>
      </c>
      <c r="B566" s="304">
        <f t="shared" ca="1" si="239"/>
        <v>37.005800000000413</v>
      </c>
      <c r="D566" s="306">
        <f t="shared" ca="1" si="240"/>
        <v>-0.65282103684001591</v>
      </c>
      <c r="E566" s="307">
        <f t="shared" ca="1" si="241"/>
        <v>-0.62149507843102114</v>
      </c>
      <c r="F566" s="304">
        <f t="shared" ca="1" si="242"/>
        <v>0.9013497870720637</v>
      </c>
      <c r="G566" s="306">
        <f t="shared" ca="1" si="243"/>
        <v>7.4122214236761632</v>
      </c>
      <c r="H566" s="307">
        <f t="shared" ca="1" si="244"/>
        <v>-104.32855193870755</v>
      </c>
      <c r="I566" s="304">
        <f t="shared" ca="1" si="245"/>
        <v>104.59152822318451</v>
      </c>
      <c r="J566" s="306">
        <f t="shared" ca="1" si="246"/>
        <v>839.7136314269211</v>
      </c>
      <c r="K566" s="307">
        <f t="shared" ca="1" si="247"/>
        <v>-1.183358678633172</v>
      </c>
      <c r="L566" s="304">
        <f t="shared" ca="1" si="232"/>
        <v>839.71446524515068</v>
      </c>
      <c r="M566" s="306">
        <f t="shared" ca="1" si="248"/>
        <v>-1.4998685946003334</v>
      </c>
      <c r="N566" s="304">
        <f t="shared" ca="1" si="249"/>
        <v>-85.936140294817363</v>
      </c>
      <c r="P566" s="310">
        <f t="shared" ca="1" si="250"/>
        <v>23</v>
      </c>
      <c r="Q566" s="304">
        <f t="shared" ca="1" si="251"/>
        <v>0</v>
      </c>
      <c r="R566" s="306">
        <f t="shared" ca="1" si="252"/>
        <v>0</v>
      </c>
      <c r="S566" s="307">
        <f t="shared" ca="1" si="253"/>
        <v>2.9792999999999985</v>
      </c>
      <c r="T566" s="304">
        <f t="shared" ca="1" si="233"/>
        <v>29.226932999999988</v>
      </c>
      <c r="U566" s="311">
        <f t="shared" ca="1" si="234"/>
        <v>0</v>
      </c>
      <c r="V566" s="306">
        <f t="shared" ca="1" si="235"/>
        <v>1.2251449700157091</v>
      </c>
      <c r="W566" s="304">
        <f t="shared" ca="1" si="236"/>
        <v>27.444376465209235</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0.57366767825541309</v>
      </c>
      <c r="AH566" s="304">
        <f t="shared" ca="1" si="260"/>
        <v>-9.2116664073249108</v>
      </c>
    </row>
    <row r="567" spans="1:34" x14ac:dyDescent="0.2">
      <c r="A567" s="347">
        <f t="shared" ca="1" si="238"/>
        <v>1E-4</v>
      </c>
      <c r="B567" s="304">
        <f t="shared" ca="1" si="239"/>
        <v>37.005900000000416</v>
      </c>
      <c r="D567" s="306">
        <f t="shared" ca="1" si="240"/>
        <v>-0.6528163263929313</v>
      </c>
      <c r="E567" s="307">
        <f t="shared" ca="1" si="241"/>
        <v>-0.62147497874627966</v>
      </c>
      <c r="F567" s="304">
        <f t="shared" ca="1" si="242"/>
        <v>0.9013325164515319</v>
      </c>
      <c r="G567" s="306">
        <f t="shared" ca="1" si="243"/>
        <v>7.412156142043524</v>
      </c>
      <c r="H567" s="307">
        <f t="shared" ca="1" si="244"/>
        <v>-104.32861408620542</v>
      </c>
      <c r="I567" s="304">
        <f t="shared" ca="1" si="245"/>
        <v>104.59158558805012</v>
      </c>
      <c r="J567" s="306">
        <f t="shared" ca="1" si="246"/>
        <v>839.7136314269211</v>
      </c>
      <c r="K567" s="307">
        <f t="shared" ca="1" si="247"/>
        <v>-1.1937915369344176</v>
      </c>
      <c r="L567" s="304">
        <f t="shared" ca="1" si="232"/>
        <v>839.71448001235558</v>
      </c>
      <c r="M567" s="306">
        <f t="shared" ca="1" si="248"/>
        <v>-1.4998692592979723</v>
      </c>
      <c r="N567" s="304">
        <f t="shared" ca="1" si="249"/>
        <v>-85.936178379186714</v>
      </c>
      <c r="P567" s="310">
        <f t="shared" ca="1" si="250"/>
        <v>23</v>
      </c>
      <c r="Q567" s="304">
        <f t="shared" ca="1" si="251"/>
        <v>0</v>
      </c>
      <c r="R567" s="306">
        <f t="shared" ca="1" si="252"/>
        <v>0</v>
      </c>
      <c r="S567" s="307">
        <f t="shared" ca="1" si="253"/>
        <v>2.9792999999999985</v>
      </c>
      <c r="T567" s="304">
        <f t="shared" ca="1" si="233"/>
        <v>29.226932999999988</v>
      </c>
      <c r="U567" s="311">
        <f t="shared" ca="1" si="234"/>
        <v>0</v>
      </c>
      <c r="V567" s="306">
        <f t="shared" ca="1" si="235"/>
        <v>1.2251462481927673</v>
      </c>
      <c r="W567" s="304">
        <f t="shared" ca="1" si="236"/>
        <v>27.444435202191247</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0.57364842504733105</v>
      </c>
      <c r="AH567" s="304">
        <f t="shared" ca="1" si="260"/>
        <v>-9.2116861226493629</v>
      </c>
    </row>
    <row r="568" spans="1:34" x14ac:dyDescent="0.2">
      <c r="A568" s="347">
        <f t="shared" ca="1" si="238"/>
        <v>1E-4</v>
      </c>
      <c r="B568" s="304">
        <f t="shared" ca="1" si="239"/>
        <v>37.006000000000419</v>
      </c>
      <c r="D568" s="306">
        <f t="shared" ca="1" si="240"/>
        <v>-0.65281161595887804</v>
      </c>
      <c r="E568" s="307">
        <f t="shared" ca="1" si="241"/>
        <v>-0.6214548793640482</v>
      </c>
      <c r="F568" s="304">
        <f t="shared" ca="1" si="242"/>
        <v>0.90131524619093473</v>
      </c>
      <c r="G568" s="306">
        <f t="shared" ca="1" si="243"/>
        <v>7.4120908608819285</v>
      </c>
      <c r="H568" s="307">
        <f t="shared" ca="1" si="244"/>
        <v>-104.32867623169335</v>
      </c>
      <c r="I568" s="304">
        <f t="shared" ca="1" si="245"/>
        <v>104.59164295099043</v>
      </c>
      <c r="J568" s="306">
        <f t="shared" ca="1" si="246"/>
        <v>839.7136314269211</v>
      </c>
      <c r="K568" s="307">
        <f t="shared" ca="1" si="247"/>
        <v>-1.2042244014503125</v>
      </c>
      <c r="L568" s="304">
        <f t="shared" ca="1" si="232"/>
        <v>839.71449490919008</v>
      </c>
      <c r="M568" s="306">
        <f t="shared" ca="1" si="248"/>
        <v>-1.4998699239890283</v>
      </c>
      <c r="N568" s="304">
        <f t="shared" ca="1" si="249"/>
        <v>-85.936216463178908</v>
      </c>
      <c r="P568" s="310">
        <f t="shared" ca="1" si="250"/>
        <v>23</v>
      </c>
      <c r="Q568" s="304">
        <f t="shared" ca="1" si="251"/>
        <v>0</v>
      </c>
      <c r="R568" s="306">
        <f t="shared" ca="1" si="252"/>
        <v>0</v>
      </c>
      <c r="S568" s="307">
        <f t="shared" ca="1" si="253"/>
        <v>2.9792999999999985</v>
      </c>
      <c r="T568" s="304">
        <f t="shared" ca="1" si="233"/>
        <v>29.226932999999988</v>
      </c>
      <c r="U568" s="311">
        <f t="shared" ca="1" si="234"/>
        <v>0</v>
      </c>
      <c r="V568" s="306">
        <f t="shared" ca="1" si="235"/>
        <v>1.2251475263719207</v>
      </c>
      <c r="W568" s="304">
        <f t="shared" ca="1" si="236"/>
        <v>27.444493938289131</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0.57362917212710229</v>
      </c>
      <c r="AH568" s="304">
        <f t="shared" ca="1" si="260"/>
        <v>-9.2117058376770586</v>
      </c>
    </row>
    <row r="569" spans="1:34" x14ac:dyDescent="0.2">
      <c r="A569" s="347">
        <f t="shared" ca="1" si="238"/>
        <v>1E-4</v>
      </c>
      <c r="B569" s="304">
        <f t="shared" ca="1" si="239"/>
        <v>37.006100000000423</v>
      </c>
      <c r="D569" s="306">
        <f t="shared" ca="1" si="240"/>
        <v>-0.65280690553785081</v>
      </c>
      <c r="E569" s="307">
        <f t="shared" ca="1" si="241"/>
        <v>-0.6214347802843303</v>
      </c>
      <c r="F569" s="304">
        <f t="shared" ca="1" si="242"/>
        <v>0.90129797629027131</v>
      </c>
      <c r="G569" s="306">
        <f t="shared" ca="1" si="243"/>
        <v>7.4120255801913748</v>
      </c>
      <c r="H569" s="307">
        <f t="shared" ca="1" si="244"/>
        <v>-104.32873837517138</v>
      </c>
      <c r="I569" s="304">
        <f t="shared" ca="1" si="245"/>
        <v>104.59170031200549</v>
      </c>
      <c r="J569" s="306">
        <f t="shared" ca="1" si="246"/>
        <v>839.7136314269211</v>
      </c>
      <c r="K569" s="307">
        <f t="shared" ca="1" si="247"/>
        <v>-1.2146572721806557</v>
      </c>
      <c r="L569" s="304">
        <f t="shared" ca="1" si="232"/>
        <v>839.71450993565429</v>
      </c>
      <c r="M569" s="306">
        <f t="shared" ca="1" si="248"/>
        <v>-1.4998705886735009</v>
      </c>
      <c r="N569" s="304">
        <f t="shared" ca="1" si="249"/>
        <v>-85.93625454679389</v>
      </c>
      <c r="P569" s="310">
        <f t="shared" ca="1" si="250"/>
        <v>23</v>
      </c>
      <c r="Q569" s="304">
        <f t="shared" ca="1" si="251"/>
        <v>0</v>
      </c>
      <c r="R569" s="306">
        <f t="shared" ca="1" si="252"/>
        <v>0</v>
      </c>
      <c r="S569" s="307">
        <f t="shared" ca="1" si="253"/>
        <v>2.9792999999999985</v>
      </c>
      <c r="T569" s="304">
        <f t="shared" ca="1" si="233"/>
        <v>29.226932999999988</v>
      </c>
      <c r="U569" s="311">
        <f t="shared" ca="1" si="234"/>
        <v>0</v>
      </c>
      <c r="V569" s="306">
        <f t="shared" ca="1" si="235"/>
        <v>1.2251488045531687</v>
      </c>
      <c r="W569" s="304">
        <f t="shared" ca="1" si="236"/>
        <v>27.444552673502898</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0.57360991949473394</v>
      </c>
      <c r="AH569" s="304">
        <f t="shared" ca="1" si="260"/>
        <v>-9.2117255524079962</v>
      </c>
    </row>
    <row r="570" spans="1:34" x14ac:dyDescent="0.2">
      <c r="A570" s="347">
        <f t="shared" ca="1" si="238"/>
        <v>1E-4</v>
      </c>
      <c r="B570" s="304">
        <f t="shared" ca="1" si="239"/>
        <v>37.006200000000426</v>
      </c>
      <c r="D570" s="306">
        <f t="shared" ca="1" si="240"/>
        <v>-0.65280219512985493</v>
      </c>
      <c r="E570" s="307">
        <f t="shared" ca="1" si="241"/>
        <v>-0.62141468150711709</v>
      </c>
      <c r="F570" s="304">
        <f t="shared" ca="1" si="242"/>
        <v>0.90128070674953931</v>
      </c>
      <c r="G570" s="306">
        <f t="shared" ca="1" si="243"/>
        <v>7.4119602999718621</v>
      </c>
      <c r="H570" s="307">
        <f t="shared" ca="1" si="244"/>
        <v>-104.32880051663953</v>
      </c>
      <c r="I570" s="304">
        <f t="shared" ca="1" si="245"/>
        <v>104.59175767109529</v>
      </c>
      <c r="J570" s="306">
        <f t="shared" ca="1" si="246"/>
        <v>839.7136314269211</v>
      </c>
      <c r="K570" s="307">
        <f t="shared" ca="1" si="247"/>
        <v>-1.2250901491252462</v>
      </c>
      <c r="L570" s="304">
        <f t="shared" ca="1" si="232"/>
        <v>839.71452509174844</v>
      </c>
      <c r="M570" s="306">
        <f t="shared" ca="1" si="248"/>
        <v>-1.4998712533513905</v>
      </c>
      <c r="N570" s="304">
        <f t="shared" ca="1" si="249"/>
        <v>-85.936292630031701</v>
      </c>
      <c r="P570" s="310">
        <f t="shared" ca="1" si="250"/>
        <v>23</v>
      </c>
      <c r="Q570" s="304">
        <f t="shared" ca="1" si="251"/>
        <v>0</v>
      </c>
      <c r="R570" s="306">
        <f t="shared" ca="1" si="252"/>
        <v>0</v>
      </c>
      <c r="S570" s="307">
        <f t="shared" ca="1" si="253"/>
        <v>2.9792999999999985</v>
      </c>
      <c r="T570" s="304">
        <f t="shared" ca="1" si="233"/>
        <v>29.226932999999988</v>
      </c>
      <c r="U570" s="311">
        <f t="shared" ca="1" si="234"/>
        <v>0</v>
      </c>
      <c r="V570" s="306">
        <f t="shared" ca="1" si="235"/>
        <v>1.225150082736512</v>
      </c>
      <c r="W570" s="304">
        <f t="shared" ca="1" si="236"/>
        <v>27.444611407832571</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0.57359066715021889</v>
      </c>
      <c r="AH570" s="304">
        <f t="shared" ca="1" si="260"/>
        <v>-9.2117452668421809</v>
      </c>
    </row>
    <row r="571" spans="1:34" x14ac:dyDescent="0.2">
      <c r="A571" s="347">
        <f t="shared" ca="1" si="238"/>
        <v>1E-4</v>
      </c>
      <c r="B571" s="304">
        <f t="shared" ca="1" si="239"/>
        <v>37.006300000000429</v>
      </c>
      <c r="D571" s="306">
        <f t="shared" ca="1" si="240"/>
        <v>-0.65279748473488797</v>
      </c>
      <c r="E571" s="307">
        <f t="shared" ca="1" si="241"/>
        <v>-0.62139458303240147</v>
      </c>
      <c r="F571" s="304">
        <f t="shared" ca="1" si="242"/>
        <v>0.9012634375687324</v>
      </c>
      <c r="G571" s="306">
        <f t="shared" ca="1" si="243"/>
        <v>7.4118950202233886</v>
      </c>
      <c r="H571" s="307">
        <f t="shared" ca="1" si="244"/>
        <v>-104.32886265609784</v>
      </c>
      <c r="I571" s="304">
        <f t="shared" ca="1" si="245"/>
        <v>104.59181502825993</v>
      </c>
      <c r="J571" s="306">
        <f t="shared" ca="1" si="246"/>
        <v>839.7136314269211</v>
      </c>
      <c r="K571" s="307">
        <f t="shared" ca="1" si="247"/>
        <v>-1.235523032283883</v>
      </c>
      <c r="L571" s="304">
        <f t="shared" ca="1" si="232"/>
        <v>839.71454037747276</v>
      </c>
      <c r="M571" s="306">
        <f t="shared" ca="1" si="248"/>
        <v>-1.4998719180226969</v>
      </c>
      <c r="N571" s="304">
        <f t="shared" ca="1" si="249"/>
        <v>-85.936330712892328</v>
      </c>
      <c r="P571" s="310">
        <f t="shared" ca="1" si="250"/>
        <v>23</v>
      </c>
      <c r="Q571" s="304">
        <f t="shared" ca="1" si="251"/>
        <v>0</v>
      </c>
      <c r="R571" s="306">
        <f t="shared" ca="1" si="252"/>
        <v>0</v>
      </c>
      <c r="S571" s="307">
        <f t="shared" ca="1" si="253"/>
        <v>2.9792999999999985</v>
      </c>
      <c r="T571" s="304">
        <f t="shared" ca="1" si="233"/>
        <v>29.226932999999988</v>
      </c>
      <c r="U571" s="311">
        <f t="shared" ca="1" si="234"/>
        <v>0</v>
      </c>
      <c r="V571" s="306">
        <f t="shared" ca="1" si="235"/>
        <v>1.22515136092195</v>
      </c>
      <c r="W571" s="304">
        <f t="shared" ca="1" si="236"/>
        <v>27.444670141278152</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0.57357141509354648</v>
      </c>
      <c r="AH571" s="304">
        <f t="shared" ca="1" si="260"/>
        <v>-9.2117649809796216</v>
      </c>
    </row>
    <row r="572" spans="1:34" x14ac:dyDescent="0.2">
      <c r="A572" s="347">
        <f t="shared" ca="1" si="238"/>
        <v>1E-4</v>
      </c>
      <c r="B572" s="304">
        <f t="shared" ca="1" si="239"/>
        <v>37.006400000000433</v>
      </c>
      <c r="D572" s="306">
        <f t="shared" ca="1" si="240"/>
        <v>-0.65279277435295291</v>
      </c>
      <c r="E572" s="307">
        <f t="shared" ca="1" si="241"/>
        <v>-0.62137448486018876</v>
      </c>
      <c r="F572" s="304">
        <f t="shared" ca="1" si="242"/>
        <v>0.90124616874785668</v>
      </c>
      <c r="G572" s="306">
        <f t="shared" ca="1" si="243"/>
        <v>7.4118297409459535</v>
      </c>
      <c r="H572" s="307">
        <f t="shared" ca="1" si="244"/>
        <v>-104.32892479354632</v>
      </c>
      <c r="I572" s="304">
        <f t="shared" ca="1" si="245"/>
        <v>104.59187238349936</v>
      </c>
      <c r="J572" s="306">
        <f t="shared" ca="1" si="246"/>
        <v>839.7136314269211</v>
      </c>
      <c r="K572" s="307">
        <f t="shared" ca="1" si="247"/>
        <v>-1.2459559216563652</v>
      </c>
      <c r="L572" s="304">
        <f t="shared" ca="1" si="232"/>
        <v>839.7145557928277</v>
      </c>
      <c r="M572" s="306">
        <f t="shared" ca="1" si="248"/>
        <v>-1.4998725826874204</v>
      </c>
      <c r="N572" s="304">
        <f t="shared" ca="1" si="249"/>
        <v>-85.93636879537577</v>
      </c>
      <c r="P572" s="310">
        <f t="shared" ca="1" si="250"/>
        <v>23</v>
      </c>
      <c r="Q572" s="304">
        <f t="shared" ca="1" si="251"/>
        <v>0</v>
      </c>
      <c r="R572" s="306">
        <f t="shared" ca="1" si="252"/>
        <v>0</v>
      </c>
      <c r="S572" s="307">
        <f t="shared" ca="1" si="253"/>
        <v>2.9792999999999985</v>
      </c>
      <c r="T572" s="304">
        <f t="shared" ca="1" si="233"/>
        <v>29.226932999999988</v>
      </c>
      <c r="U572" s="311">
        <f t="shared" ca="1" si="234"/>
        <v>0</v>
      </c>
      <c r="V572" s="306">
        <f t="shared" ca="1" si="235"/>
        <v>1.2251526391094831</v>
      </c>
      <c r="W572" s="304">
        <f t="shared" ca="1" si="236"/>
        <v>27.444728873839647</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0.57355216332472203</v>
      </c>
      <c r="AH572" s="304">
        <f t="shared" ca="1" si="260"/>
        <v>-9.2117846948203148</v>
      </c>
    </row>
    <row r="573" spans="1:34" x14ac:dyDescent="0.2">
      <c r="A573" s="347">
        <f t="shared" ca="1" si="238"/>
        <v>1E-4</v>
      </c>
      <c r="B573" s="304">
        <f t="shared" ca="1" si="239"/>
        <v>37.006500000000436</v>
      </c>
      <c r="D573" s="306">
        <f t="shared" ca="1" si="240"/>
        <v>-0.65278806398404887</v>
      </c>
      <c r="E573" s="307">
        <f t="shared" ca="1" si="241"/>
        <v>-0.6213543869904683</v>
      </c>
      <c r="F573" s="304">
        <f t="shared" ca="1" si="242"/>
        <v>0.9012289002869045</v>
      </c>
      <c r="G573" s="306">
        <f t="shared" ca="1" si="243"/>
        <v>7.4117644621395549</v>
      </c>
      <c r="H573" s="307">
        <f t="shared" ca="1" si="244"/>
        <v>-104.32898692898502</v>
      </c>
      <c r="I573" s="304">
        <f t="shared" ca="1" si="245"/>
        <v>104.59192973681364</v>
      </c>
      <c r="J573" s="306">
        <f t="shared" ca="1" si="246"/>
        <v>839.7136314269211</v>
      </c>
      <c r="K573" s="307">
        <f t="shared" ca="1" si="247"/>
        <v>-1.2563888172424917</v>
      </c>
      <c r="L573" s="304">
        <f t="shared" ca="1" si="232"/>
        <v>839.71457133781314</v>
      </c>
      <c r="M573" s="306">
        <f t="shared" ca="1" si="248"/>
        <v>-1.4998732473455609</v>
      </c>
      <c r="N573" s="304">
        <f t="shared" ca="1" si="249"/>
        <v>-85.936406877482042</v>
      </c>
      <c r="P573" s="310">
        <f t="shared" ca="1" si="250"/>
        <v>23</v>
      </c>
      <c r="Q573" s="304">
        <f t="shared" ca="1" si="251"/>
        <v>0</v>
      </c>
      <c r="R573" s="306">
        <f t="shared" ca="1" si="252"/>
        <v>0</v>
      </c>
      <c r="S573" s="307">
        <f t="shared" ca="1" si="253"/>
        <v>2.9792999999999985</v>
      </c>
      <c r="T573" s="304">
        <f t="shared" ca="1" si="233"/>
        <v>29.226932999999988</v>
      </c>
      <c r="U573" s="311">
        <f t="shared" ca="1" si="234"/>
        <v>0</v>
      </c>
      <c r="V573" s="306">
        <f t="shared" ca="1" si="235"/>
        <v>1.2251539172991106</v>
      </c>
      <c r="W573" s="304">
        <f t="shared" ca="1" si="236"/>
        <v>27.444787605517053</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0.57353291184374022</v>
      </c>
      <c r="AH573" s="304">
        <f t="shared" ca="1" si="260"/>
        <v>-9.2118044083642676</v>
      </c>
    </row>
    <row r="574" spans="1:34" x14ac:dyDescent="0.2">
      <c r="A574" s="347">
        <f t="shared" ca="1" si="238"/>
        <v>1E-4</v>
      </c>
      <c r="B574" s="304">
        <f t="shared" ca="1" si="239"/>
        <v>37.006600000000439</v>
      </c>
      <c r="D574" s="306">
        <f t="shared" ca="1" si="240"/>
        <v>-0.65278335362817674</v>
      </c>
      <c r="E574" s="307">
        <f t="shared" ca="1" si="241"/>
        <v>-0.62133428942324898</v>
      </c>
      <c r="F574" s="304">
        <f t="shared" ca="1" si="242"/>
        <v>0.90121163218588285</v>
      </c>
      <c r="G574" s="306">
        <f t="shared" ca="1" si="243"/>
        <v>7.4116991838041919</v>
      </c>
      <c r="H574" s="307">
        <f t="shared" ca="1" si="244"/>
        <v>-104.32904906241396</v>
      </c>
      <c r="I574" s="304">
        <f t="shared" ca="1" si="245"/>
        <v>104.5919870882028</v>
      </c>
      <c r="J574" s="306">
        <f t="shared" ca="1" si="246"/>
        <v>839.7136314269211</v>
      </c>
      <c r="K574" s="307">
        <f t="shared" ca="1" si="247"/>
        <v>-1.2668217190420616</v>
      </c>
      <c r="L574" s="304">
        <f t="shared" ca="1" si="232"/>
        <v>839.71458701242943</v>
      </c>
      <c r="M574" s="306">
        <f t="shared" ca="1" si="248"/>
        <v>-1.4998739119971187</v>
      </c>
      <c r="N574" s="304">
        <f t="shared" ca="1" si="249"/>
        <v>-85.936444959211158</v>
      </c>
      <c r="P574" s="310">
        <f t="shared" ca="1" si="250"/>
        <v>23</v>
      </c>
      <c r="Q574" s="304">
        <f t="shared" ca="1" si="251"/>
        <v>0</v>
      </c>
      <c r="R574" s="306">
        <f t="shared" ca="1" si="252"/>
        <v>0</v>
      </c>
      <c r="S574" s="307">
        <f t="shared" ca="1" si="253"/>
        <v>2.9792999999999985</v>
      </c>
      <c r="T574" s="304">
        <f t="shared" ca="1" si="233"/>
        <v>29.226932999999988</v>
      </c>
      <c r="U574" s="311">
        <f t="shared" ca="1" si="234"/>
        <v>0</v>
      </c>
      <c r="V574" s="306">
        <f t="shared" ca="1" si="235"/>
        <v>1.2251551954908335</v>
      </c>
      <c r="W574" s="304">
        <f t="shared" ca="1" si="236"/>
        <v>27.444846336310405</v>
      </c>
      <c r="Y574" s="314" t="str">
        <f t="shared" ca="1" si="254"/>
        <v/>
      </c>
      <c r="Z574" s="315" t="str">
        <f t="shared" ca="1" si="255"/>
        <v/>
      </c>
      <c r="AA574" s="316" t="str">
        <f t="shared" ca="1" si="256"/>
        <v/>
      </c>
      <c r="AC574" s="310" t="e">
        <f t="shared" ca="1" si="257"/>
        <v>#N/A</v>
      </c>
      <c r="AD574" s="323" t="e">
        <f t="shared" ca="1" si="258"/>
        <v>#N/A</v>
      </c>
      <c r="AE574" s="324" t="e">
        <f t="shared" ca="1" si="237"/>
        <v>#N/A</v>
      </c>
      <c r="AG574" s="306">
        <f t="shared" ca="1" si="259"/>
        <v>0.57351366065060283</v>
      </c>
      <c r="AH574" s="304">
        <f t="shared" ca="1" si="260"/>
        <v>-9.2118241216114747</v>
      </c>
    </row>
    <row r="575" spans="1:34" x14ac:dyDescent="0.2">
      <c r="A575" s="347">
        <f t="shared" ca="1" si="238"/>
        <v>1E-4</v>
      </c>
      <c r="B575" s="304">
        <f t="shared" ca="1" si="239"/>
        <v>37.006700000000443</v>
      </c>
      <c r="D575" s="306">
        <f t="shared" ca="1" si="240"/>
        <v>-0.6527786432853363</v>
      </c>
      <c r="E575" s="307">
        <f t="shared" ca="1" si="241"/>
        <v>-0.62131419215851302</v>
      </c>
      <c r="F575" s="304">
        <f t="shared" ca="1" si="242"/>
        <v>0.90119436444477952</v>
      </c>
      <c r="G575" s="306">
        <f t="shared" ca="1" si="243"/>
        <v>7.4116339059398637</v>
      </c>
      <c r="H575" s="307">
        <f t="shared" ca="1" si="244"/>
        <v>-104.32911119383317</v>
      </c>
      <c r="I575" s="304">
        <f t="shared" ca="1" si="245"/>
        <v>104.59204443766687</v>
      </c>
      <c r="J575" s="306">
        <f t="shared" ca="1" si="246"/>
        <v>839.7136314269211</v>
      </c>
      <c r="K575" s="307">
        <f t="shared" ca="1" si="247"/>
        <v>-1.2772546270548739</v>
      </c>
      <c r="L575" s="304">
        <f t="shared" ca="1" si="232"/>
        <v>839.71460281667692</v>
      </c>
      <c r="M575" s="306">
        <f t="shared" ca="1" si="248"/>
        <v>-1.4998745766420938</v>
      </c>
      <c r="N575" s="304">
        <f t="shared" ca="1" si="249"/>
        <v>-85.936483040563104</v>
      </c>
      <c r="P575" s="310">
        <f t="shared" ca="1" si="250"/>
        <v>23</v>
      </c>
      <c r="Q575" s="304">
        <f t="shared" ca="1" si="251"/>
        <v>0</v>
      </c>
      <c r="R575" s="306">
        <f t="shared" ca="1" si="252"/>
        <v>0</v>
      </c>
      <c r="S575" s="307">
        <f t="shared" ca="1" si="253"/>
        <v>2.9792999999999985</v>
      </c>
      <c r="T575" s="304">
        <f t="shared" ca="1" si="233"/>
        <v>29.226932999999988</v>
      </c>
      <c r="U575" s="311">
        <f t="shared" ca="1" si="234"/>
        <v>0</v>
      </c>
      <c r="V575" s="306">
        <f t="shared" ca="1" si="235"/>
        <v>1.225156473684651</v>
      </c>
      <c r="W575" s="304">
        <f t="shared" ca="1" si="236"/>
        <v>27.4449050662197</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0.57349440974529919</v>
      </c>
      <c r="AH575" s="304">
        <f t="shared" ca="1" si="260"/>
        <v>-9.2118438345619502</v>
      </c>
    </row>
    <row r="576" spans="1:34" x14ac:dyDescent="0.2">
      <c r="A576" s="347">
        <f t="shared" ca="1" si="238"/>
        <v>1E-4</v>
      </c>
      <c r="B576" s="304">
        <f t="shared" ca="1" si="239"/>
        <v>37.006800000000446</v>
      </c>
      <c r="D576" s="306">
        <f t="shared" ca="1" si="240"/>
        <v>-0.65277393295552855</v>
      </c>
      <c r="E576" s="307">
        <f t="shared" ca="1" si="241"/>
        <v>-0.621294095196264</v>
      </c>
      <c r="F576" s="304">
        <f t="shared" ca="1" si="242"/>
        <v>0.90117709706359783</v>
      </c>
      <c r="G576" s="306">
        <f t="shared" ca="1" si="243"/>
        <v>7.4115686285465685</v>
      </c>
      <c r="H576" s="307">
        <f t="shared" ca="1" si="244"/>
        <v>-104.32917332324269</v>
      </c>
      <c r="I576" s="304">
        <f t="shared" ca="1" si="245"/>
        <v>104.59210178520588</v>
      </c>
      <c r="J576" s="306">
        <f t="shared" ca="1" si="246"/>
        <v>839.7136314269211</v>
      </c>
      <c r="K576" s="307">
        <f t="shared" ca="1" si="247"/>
        <v>-1.2876875412807276</v>
      </c>
      <c r="L576" s="304">
        <f t="shared" ca="1" si="232"/>
        <v>839.7146187505557</v>
      </c>
      <c r="M576" s="306">
        <f t="shared" ca="1" si="248"/>
        <v>-1.4998752412804861</v>
      </c>
      <c r="N576" s="304">
        <f t="shared" ca="1" si="249"/>
        <v>-85.936521121537879</v>
      </c>
      <c r="P576" s="310">
        <f t="shared" ca="1" si="250"/>
        <v>23</v>
      </c>
      <c r="Q576" s="304">
        <f t="shared" ca="1" si="251"/>
        <v>0</v>
      </c>
      <c r="R576" s="306">
        <f t="shared" ca="1" si="252"/>
        <v>0</v>
      </c>
      <c r="S576" s="307">
        <f t="shared" ca="1" si="253"/>
        <v>2.9792999999999985</v>
      </c>
      <c r="T576" s="304">
        <f t="shared" ca="1" si="233"/>
        <v>29.226932999999988</v>
      </c>
      <c r="U576" s="311">
        <f t="shared" ca="1" si="234"/>
        <v>0</v>
      </c>
      <c r="V576" s="306">
        <f t="shared" ca="1" si="235"/>
        <v>1.2251577518805634</v>
      </c>
      <c r="W576" s="304">
        <f t="shared" ca="1" si="236"/>
        <v>27.444963795244956</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0.57347515912783109</v>
      </c>
      <c r="AH576" s="304">
        <f t="shared" ca="1" si="260"/>
        <v>-9.2118635472156924</v>
      </c>
    </row>
    <row r="577" spans="1:34" x14ac:dyDescent="0.2">
      <c r="A577" s="347">
        <f t="shared" ca="1" si="238"/>
        <v>1E-4</v>
      </c>
      <c r="B577" s="304">
        <f t="shared" ca="1" si="239"/>
        <v>37.006900000000449</v>
      </c>
      <c r="D577" s="306">
        <f t="shared" ca="1" si="240"/>
        <v>-0.65276922263875481</v>
      </c>
      <c r="E577" s="307">
        <f t="shared" ca="1" si="241"/>
        <v>-0.62127399853649479</v>
      </c>
      <c r="F577" s="304">
        <f t="shared" ca="1" si="242"/>
        <v>0.90115983004233424</v>
      </c>
      <c r="G577" s="306">
        <f t="shared" ca="1" si="243"/>
        <v>7.4115033516243045</v>
      </c>
      <c r="H577" s="307">
        <f t="shared" ca="1" si="244"/>
        <v>-104.32923545064254</v>
      </c>
      <c r="I577" s="304">
        <f t="shared" ca="1" si="245"/>
        <v>104.59215913081988</v>
      </c>
      <c r="J577" s="306">
        <f t="shared" ca="1" si="246"/>
        <v>839.7136314269211</v>
      </c>
      <c r="K577" s="307">
        <f t="shared" ca="1" si="247"/>
        <v>-1.298120461719422</v>
      </c>
      <c r="L577" s="304">
        <f t="shared" ca="1" si="232"/>
        <v>839.71463481406602</v>
      </c>
      <c r="M577" s="306">
        <f t="shared" ca="1" si="248"/>
        <v>-1.4998759059122959</v>
      </c>
      <c r="N577" s="304">
        <f t="shared" ca="1" si="249"/>
        <v>-85.936559202135513</v>
      </c>
      <c r="P577" s="310">
        <f t="shared" ca="1" si="250"/>
        <v>23</v>
      </c>
      <c r="Q577" s="304">
        <f t="shared" ca="1" si="251"/>
        <v>0</v>
      </c>
      <c r="R577" s="306">
        <f t="shared" ca="1" si="252"/>
        <v>0</v>
      </c>
      <c r="S577" s="307">
        <f t="shared" ca="1" si="253"/>
        <v>2.9792999999999985</v>
      </c>
      <c r="T577" s="304">
        <f t="shared" ca="1" si="233"/>
        <v>29.226932999999988</v>
      </c>
      <c r="U577" s="311">
        <f t="shared" ca="1" si="234"/>
        <v>0</v>
      </c>
      <c r="V577" s="306">
        <f t="shared" ca="1" si="235"/>
        <v>1.2251590300785709</v>
      </c>
      <c r="W577" s="304">
        <f t="shared" ca="1" si="236"/>
        <v>27.445022523386193</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0.57345590879818786</v>
      </c>
      <c r="AH577" s="304">
        <f t="shared" ca="1" si="260"/>
        <v>-9.2118832595727085</v>
      </c>
    </row>
    <row r="578" spans="1:34" x14ac:dyDescent="0.2">
      <c r="A578" s="347">
        <f t="shared" ca="1" si="238"/>
        <v>1E-4</v>
      </c>
      <c r="B578" s="304">
        <f t="shared" ca="1" si="239"/>
        <v>37.007000000000453</v>
      </c>
      <c r="D578" s="306">
        <f t="shared" ca="1" si="240"/>
        <v>-0.65276451233501465</v>
      </c>
      <c r="E578" s="307">
        <f t="shared" ca="1" si="241"/>
        <v>-0.62125390217920007</v>
      </c>
      <c r="F578" s="304">
        <f t="shared" ca="1" si="242"/>
        <v>0.90114256338098497</v>
      </c>
      <c r="G578" s="306">
        <f t="shared" ca="1" si="243"/>
        <v>7.4114380751730708</v>
      </c>
      <c r="H578" s="307">
        <f t="shared" ca="1" si="244"/>
        <v>-104.32929757603276</v>
      </c>
      <c r="I578" s="304">
        <f t="shared" ca="1" si="245"/>
        <v>104.59221647450885</v>
      </c>
      <c r="J578" s="306">
        <f t="shared" ca="1" si="246"/>
        <v>839.7136314269211</v>
      </c>
      <c r="K578" s="307">
        <f t="shared" ca="1" si="247"/>
        <v>-1.3085533883707556</v>
      </c>
      <c r="L578" s="304">
        <f t="shared" ca="1" si="232"/>
        <v>839.71465100720809</v>
      </c>
      <c r="M578" s="306">
        <f t="shared" ca="1" si="248"/>
        <v>-1.4998765705375232</v>
      </c>
      <c r="N578" s="304">
        <f t="shared" ca="1" si="249"/>
        <v>-85.93659728235599</v>
      </c>
      <c r="P578" s="310">
        <f t="shared" ca="1" si="250"/>
        <v>23</v>
      </c>
      <c r="Q578" s="304">
        <f t="shared" ca="1" si="251"/>
        <v>0</v>
      </c>
      <c r="R578" s="306">
        <f t="shared" ca="1" si="252"/>
        <v>0</v>
      </c>
      <c r="S578" s="307">
        <f t="shared" ca="1" si="253"/>
        <v>2.9792999999999985</v>
      </c>
      <c r="T578" s="304">
        <f t="shared" ca="1" si="233"/>
        <v>29.226932999999988</v>
      </c>
      <c r="U578" s="311">
        <f t="shared" ca="1" si="234"/>
        <v>0</v>
      </c>
      <c r="V578" s="306">
        <f t="shared" ca="1" si="235"/>
        <v>1.2251603082786726</v>
      </c>
      <c r="W578" s="304">
        <f t="shared" ca="1" si="236"/>
        <v>27.44508125064338</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0.57343665875636951</v>
      </c>
      <c r="AH578" s="304">
        <f t="shared" ca="1" si="260"/>
        <v>-9.2119029716330036</v>
      </c>
    </row>
    <row r="579" spans="1:34" x14ac:dyDescent="0.2">
      <c r="A579" s="347">
        <f t="shared" ca="1" si="238"/>
        <v>1E-4</v>
      </c>
      <c r="B579" s="304">
        <f t="shared" ca="1" si="239"/>
        <v>37.007100000000456</v>
      </c>
      <c r="D579" s="306">
        <f t="shared" ca="1" si="240"/>
        <v>-0.65275980204430817</v>
      </c>
      <c r="E579" s="307">
        <f t="shared" ca="1" si="241"/>
        <v>-0.62123380612438872</v>
      </c>
      <c r="F579" s="304">
        <f t="shared" ca="1" si="242"/>
        <v>0.90112529707955646</v>
      </c>
      <c r="G579" s="306">
        <f t="shared" ca="1" si="243"/>
        <v>7.4113727991928666</v>
      </c>
      <c r="H579" s="307">
        <f t="shared" ca="1" si="244"/>
        <v>-104.32935969941337</v>
      </c>
      <c r="I579" s="304">
        <f t="shared" ca="1" si="245"/>
        <v>104.59227381627285</v>
      </c>
      <c r="J579" s="306">
        <f t="shared" ca="1" si="246"/>
        <v>839.7136314269211</v>
      </c>
      <c r="K579" s="307">
        <f t="shared" ca="1" si="247"/>
        <v>-1.3189863212345279</v>
      </c>
      <c r="L579" s="304">
        <f t="shared" ca="1" si="232"/>
        <v>839.71466732998226</v>
      </c>
      <c r="M579" s="306">
        <f t="shared" ca="1" si="248"/>
        <v>-1.4998772351561682</v>
      </c>
      <c r="N579" s="304">
        <f t="shared" ca="1" si="249"/>
        <v>-85.93663536219934</v>
      </c>
      <c r="P579" s="310">
        <f t="shared" ca="1" si="250"/>
        <v>23</v>
      </c>
      <c r="Q579" s="304">
        <f t="shared" ca="1" si="251"/>
        <v>0</v>
      </c>
      <c r="R579" s="306">
        <f t="shared" ca="1" si="252"/>
        <v>0</v>
      </c>
      <c r="S579" s="307">
        <f t="shared" ca="1" si="253"/>
        <v>2.9792999999999985</v>
      </c>
      <c r="T579" s="304">
        <f t="shared" ca="1" si="233"/>
        <v>29.226932999999988</v>
      </c>
      <c r="U579" s="311">
        <f t="shared" ca="1" si="234"/>
        <v>0</v>
      </c>
      <c r="V579" s="306">
        <f t="shared" ca="1" si="235"/>
        <v>1.2251615864808694</v>
      </c>
      <c r="W579" s="304">
        <f t="shared" ca="1" si="236"/>
        <v>27.44513997701657</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0.57341740900238314</v>
      </c>
      <c r="AH579" s="304">
        <f t="shared" ca="1" si="260"/>
        <v>-9.2119226833965673</v>
      </c>
    </row>
    <row r="580" spans="1:34" x14ac:dyDescent="0.2">
      <c r="A580" s="347">
        <f t="shared" ca="1" si="238"/>
        <v>1E-4</v>
      </c>
      <c r="B580" s="304">
        <f t="shared" ca="1" si="239"/>
        <v>37.007200000000459</v>
      </c>
      <c r="D580" s="306">
        <f t="shared" ca="1" si="240"/>
        <v>-0.65275509176663549</v>
      </c>
      <c r="E580" s="307">
        <f t="shared" ca="1" si="241"/>
        <v>-0.62121371037204476</v>
      </c>
      <c r="F580" s="304">
        <f t="shared" ca="1" si="242"/>
        <v>0.90110803113803817</v>
      </c>
      <c r="G580" s="306">
        <f t="shared" ca="1" si="243"/>
        <v>7.4113075236836901</v>
      </c>
      <c r="H580" s="307">
        <f t="shared" ca="1" si="244"/>
        <v>-104.3294218207844</v>
      </c>
      <c r="I580" s="304">
        <f t="shared" ca="1" si="245"/>
        <v>104.5923311561119</v>
      </c>
      <c r="J580" s="306">
        <f t="shared" ca="1" si="246"/>
        <v>839.7136314269211</v>
      </c>
      <c r="K580" s="307">
        <f t="shared" ca="1" si="247"/>
        <v>-1.3294192603105377</v>
      </c>
      <c r="L580" s="304">
        <f t="shared" ref="L580:L643" ca="1" si="261">SQRT(pos_x^2+pos_z^2)</f>
        <v>839.71468378238853</v>
      </c>
      <c r="M580" s="306">
        <f t="shared" ca="1" si="248"/>
        <v>-1.4998778997682307</v>
      </c>
      <c r="N580" s="304">
        <f t="shared" ca="1" si="249"/>
        <v>-85.936673441665533</v>
      </c>
      <c r="P580" s="310">
        <f t="shared" ca="1" si="250"/>
        <v>23</v>
      </c>
      <c r="Q580" s="304">
        <f t="shared" ca="1" si="251"/>
        <v>0</v>
      </c>
      <c r="R580" s="306">
        <f t="shared" ca="1" si="252"/>
        <v>0</v>
      </c>
      <c r="S580" s="307">
        <f t="shared" ca="1" si="253"/>
        <v>2.9792999999999985</v>
      </c>
      <c r="T580" s="304">
        <f t="shared" ref="T580:T643" ca="1" si="262">m*g</f>
        <v>29.226932999999988</v>
      </c>
      <c r="U580" s="311">
        <f t="shared" ref="U580:U643" ca="1" si="263">IF(pos_xz&lt;L_rampe,Poids*COS(Beta),0)</f>
        <v>0</v>
      </c>
      <c r="V580" s="306">
        <f t="shared" ref="V580:V643" ca="1" si="264">Rho_moyen*(20000-Alt_rampe-pos_z)/(20000+Alt_rampe+pos_z)</f>
        <v>1.2251628646851607</v>
      </c>
      <c r="W580" s="304">
        <f t="shared" ref="W580:W643" ca="1" si="265">1/2*Rho*Sref*Cx*vit_xz^2</f>
        <v>27.445198702505746</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0.57339815953621098</v>
      </c>
      <c r="AH580" s="304">
        <f t="shared" ca="1" si="260"/>
        <v>-9.2119423948634189</v>
      </c>
    </row>
    <row r="581" spans="1:34" x14ac:dyDescent="0.2">
      <c r="A581" s="347">
        <f t="shared" ref="A581:A644" ca="1" si="267">IF(B580+0.01&lt;=T_ini+ROUNDUP(Temps_fin_propu,0), 0.01, IF(K580&gt;0, 0.1, 0.0001))</f>
        <v>1E-4</v>
      </c>
      <c r="B581" s="304">
        <f t="shared" ref="B581:B644" ca="1" si="268">B580+pas</f>
        <v>37.007300000000463</v>
      </c>
      <c r="D581" s="306">
        <f t="shared" ref="D581:D644" ca="1" si="269">IF(AND(L580&lt;L_rampe,Poussee&lt;Poids*SIN(M580)),0,(-W580+Poussee)/m*COS(M580)-U580/m*SIN(M580))</f>
        <v>-0.65275038150199949</v>
      </c>
      <c r="E581" s="307">
        <f t="shared" ref="E581:E644" ca="1" si="270">IF(AND(L580&lt;L_rampe,Poussee&lt;Poids*SIN(M580)),0,(-W580+Poussee)/m*SIN(M580)+U580/m*COS(M580)-Poids/m)</f>
        <v>-0.62119361492216996</v>
      </c>
      <c r="F581" s="304">
        <f t="shared" ref="F581:F644" ca="1" si="271">SQRT(acc_x^2+acc_z^2)</f>
        <v>0.9010907655564333</v>
      </c>
      <c r="G581" s="306">
        <f t="shared" ref="G581:G644" ca="1" si="272">G580+acc_x*pas</f>
        <v>7.4112422486455403</v>
      </c>
      <c r="H581" s="307">
        <f t="shared" ref="H581:H644" ca="1" si="273">H580+acc_z*pas</f>
        <v>-104.32948394014589</v>
      </c>
      <c r="I581" s="304">
        <f t="shared" ref="I581:I644" ca="1" si="274">SQRT(vit_x^2+vit_z^2)</f>
        <v>104.59238849402603</v>
      </c>
      <c r="J581" s="306">
        <f t="shared" ref="J581:J644" ca="1" si="275">J580+0.5*(vit_x+G580)*pas*(K580&gt;=0)</f>
        <v>839.7136314269211</v>
      </c>
      <c r="K581" s="307">
        <f t="shared" ref="K581:K644" ca="1" si="276">K580+0.5*(vit_z+H580)*pas</f>
        <v>-1.3398522055985842</v>
      </c>
      <c r="L581" s="304">
        <f t="shared" ca="1" si="261"/>
        <v>839.71470036442724</v>
      </c>
      <c r="M581" s="306">
        <f t="shared" ref="M581:M644" ca="1" si="277">IF(AND(L580&gt;L_rampe,G581&gt;0),ATAN2(G581,H581),$M$4)</f>
        <v>-1.4998785643737111</v>
      </c>
      <c r="N581" s="304">
        <f t="shared" ref="N581:N644" ca="1" si="278">DEGREES(Beta)</f>
        <v>-85.936711520754599</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2.9792999999999985</v>
      </c>
      <c r="T581" s="304">
        <f t="shared" ca="1" si="262"/>
        <v>29.226932999999988</v>
      </c>
      <c r="U581" s="311">
        <f t="shared" ca="1" si="263"/>
        <v>0</v>
      </c>
      <c r="V581" s="306">
        <f t="shared" ca="1" si="264"/>
        <v>1.2251641428915467</v>
      </c>
      <c r="W581" s="304">
        <f t="shared" ca="1" si="265"/>
        <v>27.445257427110928</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0.57337891035786193</v>
      </c>
      <c r="AH581" s="304">
        <f t="shared" ref="AH581:AH644" ca="1" si="289">IF(AND(L580&lt;L_rampe,Poussee&lt;Poids*SIN(M580)), g*SIN(M580), (-W580+Poussee)/m)</f>
        <v>-9.2119621060335515</v>
      </c>
    </row>
    <row r="582" spans="1:34" x14ac:dyDescent="0.2">
      <c r="A582" s="347">
        <f t="shared" ca="1" si="267"/>
        <v>1E-4</v>
      </c>
      <c r="B582" s="304">
        <f t="shared" ca="1" si="268"/>
        <v>37.007400000000466</v>
      </c>
      <c r="D582" s="306">
        <f t="shared" ca="1" si="269"/>
        <v>-0.6527456712503974</v>
      </c>
      <c r="E582" s="307">
        <f t="shared" ca="1" si="270"/>
        <v>-0.62117351977476254</v>
      </c>
      <c r="F582" s="304">
        <f t="shared" ca="1" si="271"/>
        <v>0.9010735003347391</v>
      </c>
      <c r="G582" s="306">
        <f t="shared" ca="1" si="272"/>
        <v>7.4111769740784155</v>
      </c>
      <c r="H582" s="307">
        <f t="shared" ca="1" si="273"/>
        <v>-104.32954605749786</v>
      </c>
      <c r="I582" s="304">
        <f t="shared" ca="1" si="274"/>
        <v>104.59244583001527</v>
      </c>
      <c r="J582" s="306">
        <f t="shared" ca="1" si="275"/>
        <v>839.7136314269211</v>
      </c>
      <c r="K582" s="307">
        <f t="shared" ca="1" si="276"/>
        <v>-1.3502851570984664</v>
      </c>
      <c r="L582" s="304">
        <f t="shared" ca="1" si="261"/>
        <v>839.71471707609874</v>
      </c>
      <c r="M582" s="306">
        <f t="shared" ca="1" si="277"/>
        <v>-1.4998792289726093</v>
      </c>
      <c r="N582" s="304">
        <f t="shared" ca="1" si="278"/>
        <v>-85.936749599466538</v>
      </c>
      <c r="P582" s="310">
        <f t="shared" ca="1" si="279"/>
        <v>23</v>
      </c>
      <c r="Q582" s="304">
        <f t="shared" ca="1" si="280"/>
        <v>0</v>
      </c>
      <c r="R582" s="306">
        <f t="shared" ca="1" si="281"/>
        <v>0</v>
      </c>
      <c r="S582" s="307">
        <f t="shared" ca="1" si="282"/>
        <v>2.9792999999999985</v>
      </c>
      <c r="T582" s="304">
        <f t="shared" ca="1" si="262"/>
        <v>29.226932999999988</v>
      </c>
      <c r="U582" s="311">
        <f t="shared" ca="1" si="263"/>
        <v>0</v>
      </c>
      <c r="V582" s="306">
        <f t="shared" ca="1" si="264"/>
        <v>1.2251654211000276</v>
      </c>
      <c r="W582" s="304">
        <f t="shared" ca="1" si="265"/>
        <v>27.445316150832127</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0.57335966146732353</v>
      </c>
      <c r="AH582" s="304">
        <f t="shared" ca="1" si="289"/>
        <v>-9.211981816906972</v>
      </c>
    </row>
    <row r="583" spans="1:34" x14ac:dyDescent="0.2">
      <c r="A583" s="347">
        <f t="shared" ca="1" si="267"/>
        <v>1E-4</v>
      </c>
      <c r="B583" s="304">
        <f t="shared" ca="1" si="268"/>
        <v>37.007500000000469</v>
      </c>
      <c r="D583" s="306">
        <f t="shared" ca="1" si="269"/>
        <v>-0.65274096101183254</v>
      </c>
      <c r="E583" s="307">
        <f t="shared" ca="1" si="270"/>
        <v>-0.6211534249298154</v>
      </c>
      <c r="F583" s="304">
        <f t="shared" ca="1" si="271"/>
        <v>0.90105623547295344</v>
      </c>
      <c r="G583" s="306">
        <f t="shared" ca="1" si="272"/>
        <v>7.4111116999823139</v>
      </c>
      <c r="H583" s="307">
        <f t="shared" ca="1" si="273"/>
        <v>-104.32960817284035</v>
      </c>
      <c r="I583" s="304">
        <f t="shared" ca="1" si="274"/>
        <v>104.59250316407964</v>
      </c>
      <c r="J583" s="306">
        <f t="shared" ca="1" si="275"/>
        <v>839.7136314269211</v>
      </c>
      <c r="K583" s="307">
        <f t="shared" ca="1" si="276"/>
        <v>-1.3607181148099834</v>
      </c>
      <c r="L583" s="304">
        <f t="shared" ca="1" si="261"/>
        <v>839.71473391740312</v>
      </c>
      <c r="M583" s="306">
        <f t="shared" ca="1" si="277"/>
        <v>-1.4998798935649253</v>
      </c>
      <c r="N583" s="304">
        <f t="shared" ca="1" si="278"/>
        <v>-85.936787677801348</v>
      </c>
      <c r="P583" s="310">
        <f t="shared" ca="1" si="279"/>
        <v>23</v>
      </c>
      <c r="Q583" s="304">
        <f t="shared" ca="1" si="280"/>
        <v>0</v>
      </c>
      <c r="R583" s="306">
        <f t="shared" ca="1" si="281"/>
        <v>0</v>
      </c>
      <c r="S583" s="307">
        <f t="shared" ca="1" si="282"/>
        <v>2.9792999999999985</v>
      </c>
      <c r="T583" s="304">
        <f t="shared" ca="1" si="262"/>
        <v>29.226932999999988</v>
      </c>
      <c r="U583" s="311">
        <f t="shared" ca="1" si="263"/>
        <v>0</v>
      </c>
      <c r="V583" s="306">
        <f t="shared" ca="1" si="264"/>
        <v>1.225166699310603</v>
      </c>
      <c r="W583" s="304">
        <f t="shared" ca="1" si="265"/>
        <v>27.445374873669351</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0.57334041286459758</v>
      </c>
      <c r="AH583" s="304">
        <f t="shared" ca="1" si="289"/>
        <v>-9.2120015274836842</v>
      </c>
    </row>
    <row r="584" spans="1:34" x14ac:dyDescent="0.2">
      <c r="A584" s="347">
        <f t="shared" ca="1" si="267"/>
        <v>1E-4</v>
      </c>
      <c r="B584" s="304">
        <f t="shared" ca="1" si="268"/>
        <v>37.007600000000473</v>
      </c>
      <c r="D584" s="306">
        <f t="shared" ca="1" si="269"/>
        <v>-0.65273625078630393</v>
      </c>
      <c r="E584" s="307">
        <f t="shared" ca="1" si="270"/>
        <v>-0.62113333038732499</v>
      </c>
      <c r="F584" s="304">
        <f t="shared" ca="1" si="271"/>
        <v>0.90103897097107322</v>
      </c>
      <c r="G584" s="306">
        <f t="shared" ca="1" si="272"/>
        <v>7.4110464263572355</v>
      </c>
      <c r="H584" s="307">
        <f t="shared" ca="1" si="273"/>
        <v>-104.3296702861734</v>
      </c>
      <c r="I584" s="304">
        <f t="shared" ca="1" si="274"/>
        <v>104.59256049621921</v>
      </c>
      <c r="J584" s="306">
        <f t="shared" ca="1" si="275"/>
        <v>839.7136314269211</v>
      </c>
      <c r="K584" s="307">
        <f t="shared" ca="1" si="276"/>
        <v>-1.3711510787329342</v>
      </c>
      <c r="L584" s="304">
        <f t="shared" ca="1" si="261"/>
        <v>839.71475088834052</v>
      </c>
      <c r="M584" s="306">
        <f t="shared" ca="1" si="277"/>
        <v>-1.4998805581506593</v>
      </c>
      <c r="N584" s="304">
        <f t="shared" ca="1" si="278"/>
        <v>-85.936825755759031</v>
      </c>
      <c r="P584" s="310">
        <f t="shared" ca="1" si="279"/>
        <v>23</v>
      </c>
      <c r="Q584" s="304">
        <f t="shared" ca="1" si="280"/>
        <v>0</v>
      </c>
      <c r="R584" s="306">
        <f t="shared" ca="1" si="281"/>
        <v>0</v>
      </c>
      <c r="S584" s="307">
        <f t="shared" ca="1" si="282"/>
        <v>2.9792999999999985</v>
      </c>
      <c r="T584" s="304">
        <f t="shared" ca="1" si="262"/>
        <v>29.226932999999988</v>
      </c>
      <c r="U584" s="311">
        <f t="shared" ca="1" si="263"/>
        <v>0</v>
      </c>
      <c r="V584" s="306">
        <f t="shared" ca="1" si="264"/>
        <v>1.2251679775232729</v>
      </c>
      <c r="W584" s="304">
        <f t="shared" ca="1" si="265"/>
        <v>27.445433595622621</v>
      </c>
      <c r="Y584" s="314" t="str">
        <f t="shared" ca="1" si="283"/>
        <v/>
      </c>
      <c r="Z584" s="315" t="str">
        <f t="shared" ca="1" si="284"/>
        <v/>
      </c>
      <c r="AA584" s="316" t="str">
        <f t="shared" ca="1" si="285"/>
        <v/>
      </c>
      <c r="AC584" s="310" t="e">
        <f t="shared" ca="1" si="286"/>
        <v>#N/A</v>
      </c>
      <c r="AD584" s="323" t="e">
        <f t="shared" ca="1" si="287"/>
        <v>#N/A</v>
      </c>
      <c r="AE584" s="324" t="e">
        <f t="shared" ca="1" si="266"/>
        <v>#N/A</v>
      </c>
      <c r="AG584" s="306">
        <f t="shared" ca="1" si="288"/>
        <v>0.57332116454967874</v>
      </c>
      <c r="AH584" s="304">
        <f t="shared" ca="1" si="289"/>
        <v>-9.2120212377636914</v>
      </c>
    </row>
    <row r="585" spans="1:34" x14ac:dyDescent="0.2">
      <c r="A585" s="347">
        <f t="shared" ca="1" si="267"/>
        <v>1E-4</v>
      </c>
      <c r="B585" s="304">
        <f t="shared" ca="1" si="268"/>
        <v>37.007700000000476</v>
      </c>
      <c r="D585" s="306">
        <f t="shared" ca="1" si="269"/>
        <v>-0.65273154057381333</v>
      </c>
      <c r="E585" s="307">
        <f t="shared" ca="1" si="270"/>
        <v>-0.62111323614728775</v>
      </c>
      <c r="F585" s="304">
        <f t="shared" ca="1" si="271"/>
        <v>0.90102170682909755</v>
      </c>
      <c r="G585" s="306">
        <f t="shared" ca="1" si="272"/>
        <v>7.4109811532031777</v>
      </c>
      <c r="H585" s="307">
        <f t="shared" ca="1" si="273"/>
        <v>-104.32973239749701</v>
      </c>
      <c r="I585" s="304">
        <f t="shared" ca="1" si="274"/>
        <v>104.59261782643395</v>
      </c>
      <c r="J585" s="306">
        <f t="shared" ca="1" si="275"/>
        <v>839.7136314269211</v>
      </c>
      <c r="K585" s="307">
        <f t="shared" ca="1" si="276"/>
        <v>-1.3815840488671176</v>
      </c>
      <c r="L585" s="304">
        <f t="shared" ca="1" si="261"/>
        <v>839.71476798891138</v>
      </c>
      <c r="M585" s="306">
        <f t="shared" ca="1" si="277"/>
        <v>-1.4998812227298115</v>
      </c>
      <c r="N585" s="304">
        <f t="shared" ca="1" si="278"/>
        <v>-85.936863833339601</v>
      </c>
      <c r="P585" s="310">
        <f t="shared" ca="1" si="279"/>
        <v>23</v>
      </c>
      <c r="Q585" s="304">
        <f t="shared" ca="1" si="280"/>
        <v>0</v>
      </c>
      <c r="R585" s="306">
        <f t="shared" ca="1" si="281"/>
        <v>0</v>
      </c>
      <c r="S585" s="307">
        <f t="shared" ca="1" si="282"/>
        <v>2.9792999999999985</v>
      </c>
      <c r="T585" s="304">
        <f t="shared" ca="1" si="262"/>
        <v>29.226932999999988</v>
      </c>
      <c r="U585" s="311">
        <f t="shared" ca="1" si="263"/>
        <v>0</v>
      </c>
      <c r="V585" s="306">
        <f t="shared" ca="1" si="264"/>
        <v>1.2251692557380378</v>
      </c>
      <c r="W585" s="304">
        <f t="shared" ca="1" si="265"/>
        <v>27.445492316691929</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0.57330191652256346</v>
      </c>
      <c r="AH585" s="304">
        <f t="shared" ca="1" si="289"/>
        <v>-9.2120409477469991</v>
      </c>
    </row>
    <row r="586" spans="1:34" x14ac:dyDescent="0.2">
      <c r="A586" s="347">
        <f t="shared" ca="1" si="267"/>
        <v>1E-4</v>
      </c>
      <c r="B586" s="304">
        <f t="shared" ca="1" si="268"/>
        <v>37.007800000000479</v>
      </c>
      <c r="D586" s="306">
        <f t="shared" ca="1" si="269"/>
        <v>-0.6527268303743593</v>
      </c>
      <c r="E586" s="307">
        <f t="shared" ca="1" si="270"/>
        <v>-0.62109314220970546</v>
      </c>
      <c r="F586" s="304">
        <f t="shared" ca="1" si="271"/>
        <v>0.90100444304702687</v>
      </c>
      <c r="G586" s="306">
        <f t="shared" ca="1" si="272"/>
        <v>7.4109158805201405</v>
      </c>
      <c r="H586" s="307">
        <f t="shared" ca="1" si="273"/>
        <v>-104.32979450681123</v>
      </c>
      <c r="I586" s="304">
        <f t="shared" ca="1" si="274"/>
        <v>104.59267515472392</v>
      </c>
      <c r="J586" s="306">
        <f t="shared" ca="1" si="275"/>
        <v>839.7136314269211</v>
      </c>
      <c r="K586" s="307">
        <f t="shared" ca="1" si="276"/>
        <v>-1.3920170252123329</v>
      </c>
      <c r="L586" s="304">
        <f t="shared" ca="1" si="261"/>
        <v>839.7147852191157</v>
      </c>
      <c r="M586" s="306">
        <f t="shared" ca="1" si="277"/>
        <v>-1.4998818873023818</v>
      </c>
      <c r="N586" s="304">
        <f t="shared" ca="1" si="278"/>
        <v>-85.936901910543057</v>
      </c>
      <c r="P586" s="310">
        <f t="shared" ca="1" si="279"/>
        <v>23</v>
      </c>
      <c r="Q586" s="304">
        <f t="shared" ca="1" si="280"/>
        <v>0</v>
      </c>
      <c r="R586" s="306">
        <f t="shared" ca="1" si="281"/>
        <v>0</v>
      </c>
      <c r="S586" s="307">
        <f t="shared" ca="1" si="282"/>
        <v>2.9792999999999985</v>
      </c>
      <c r="T586" s="304">
        <f t="shared" ca="1" si="262"/>
        <v>29.226932999999988</v>
      </c>
      <c r="U586" s="311">
        <f t="shared" ca="1" si="263"/>
        <v>0</v>
      </c>
      <c r="V586" s="306">
        <f t="shared" ca="1" si="264"/>
        <v>1.2251705339548973</v>
      </c>
      <c r="W586" s="304">
        <f t="shared" ca="1" si="265"/>
        <v>27.445551036877298</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0.57328266878325174</v>
      </c>
      <c r="AH586" s="304">
        <f t="shared" ca="1" si="289"/>
        <v>-9.2120606574336055</v>
      </c>
    </row>
    <row r="587" spans="1:34" x14ac:dyDescent="0.2">
      <c r="A587" s="347">
        <f t="shared" ca="1" si="267"/>
        <v>1E-4</v>
      </c>
      <c r="B587" s="304">
        <f t="shared" ca="1" si="268"/>
        <v>37.007900000000483</v>
      </c>
      <c r="D587" s="306">
        <f t="shared" ca="1" si="269"/>
        <v>-0.6527221201879434</v>
      </c>
      <c r="E587" s="307">
        <f t="shared" ca="1" si="270"/>
        <v>-0.62107304857456747</v>
      </c>
      <c r="F587" s="304">
        <f t="shared" ca="1" si="271"/>
        <v>0.90098717962485508</v>
      </c>
      <c r="G587" s="306">
        <f t="shared" ca="1" si="272"/>
        <v>7.410850608308122</v>
      </c>
      <c r="H587" s="307">
        <f t="shared" ca="1" si="273"/>
        <v>-104.32985661411608</v>
      </c>
      <c r="I587" s="304">
        <f t="shared" ca="1" si="274"/>
        <v>104.59273248108916</v>
      </c>
      <c r="J587" s="306">
        <f t="shared" ca="1" si="275"/>
        <v>839.7136314269211</v>
      </c>
      <c r="K587" s="307">
        <f t="shared" ca="1" si="276"/>
        <v>-1.4024500077683792</v>
      </c>
      <c r="L587" s="304">
        <f t="shared" ca="1" si="261"/>
        <v>839.71480257895382</v>
      </c>
      <c r="M587" s="306">
        <f t="shared" ca="1" si="277"/>
        <v>-1.4998825518683703</v>
      </c>
      <c r="N587" s="304">
        <f t="shared" ca="1" si="278"/>
        <v>-85.936939987369399</v>
      </c>
      <c r="P587" s="310">
        <f t="shared" ca="1" si="279"/>
        <v>23</v>
      </c>
      <c r="Q587" s="304">
        <f t="shared" ca="1" si="280"/>
        <v>0</v>
      </c>
      <c r="R587" s="306">
        <f t="shared" ca="1" si="281"/>
        <v>0</v>
      </c>
      <c r="S587" s="307">
        <f t="shared" ca="1" si="282"/>
        <v>2.9792999999999985</v>
      </c>
      <c r="T587" s="304">
        <f t="shared" ca="1" si="262"/>
        <v>29.226932999999988</v>
      </c>
      <c r="U587" s="311">
        <f t="shared" ca="1" si="263"/>
        <v>0</v>
      </c>
      <c r="V587" s="306">
        <f t="shared" ca="1" si="264"/>
        <v>1.2251718121738511</v>
      </c>
      <c r="W587" s="304">
        <f t="shared" ca="1" si="265"/>
        <v>27.445609756178733</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0.57326342133173469</v>
      </c>
      <c r="AH587" s="304">
        <f t="shared" ca="1" si="289"/>
        <v>-9.2120803668235194</v>
      </c>
    </row>
    <row r="588" spans="1:34" x14ac:dyDescent="0.2">
      <c r="A588" s="347">
        <f t="shared" ca="1" si="267"/>
        <v>1E-4</v>
      </c>
      <c r="B588" s="304">
        <f t="shared" ca="1" si="268"/>
        <v>37.008000000000486</v>
      </c>
      <c r="D588" s="306">
        <f t="shared" ca="1" si="269"/>
        <v>-0.65271741001456673</v>
      </c>
      <c r="E588" s="307">
        <f t="shared" ca="1" si="270"/>
        <v>-0.62105295524187376</v>
      </c>
      <c r="F588" s="304">
        <f t="shared" ca="1" si="271"/>
        <v>0.90096991656258363</v>
      </c>
      <c r="G588" s="306">
        <f t="shared" ca="1" si="272"/>
        <v>7.4107853365671206</v>
      </c>
      <c r="H588" s="307">
        <f t="shared" ca="1" si="273"/>
        <v>-104.32991871941161</v>
      </c>
      <c r="I588" s="304">
        <f t="shared" ca="1" si="274"/>
        <v>104.59278980552966</v>
      </c>
      <c r="J588" s="306">
        <f t="shared" ca="1" si="275"/>
        <v>839.7136314269211</v>
      </c>
      <c r="K588" s="307">
        <f t="shared" ca="1" si="276"/>
        <v>-1.4128829965350556</v>
      </c>
      <c r="L588" s="304">
        <f t="shared" ca="1" si="261"/>
        <v>839.71482006842598</v>
      </c>
      <c r="M588" s="306">
        <f t="shared" ca="1" si="277"/>
        <v>-1.4998832164277771</v>
      </c>
      <c r="N588" s="304">
        <f t="shared" ca="1" si="278"/>
        <v>-85.936978063818657</v>
      </c>
      <c r="P588" s="310">
        <f t="shared" ca="1" si="279"/>
        <v>23</v>
      </c>
      <c r="Q588" s="304">
        <f t="shared" ca="1" si="280"/>
        <v>0</v>
      </c>
      <c r="R588" s="306">
        <f t="shared" ca="1" si="281"/>
        <v>0</v>
      </c>
      <c r="S588" s="307">
        <f t="shared" ca="1" si="282"/>
        <v>2.9792999999999985</v>
      </c>
      <c r="T588" s="304">
        <f t="shared" ca="1" si="262"/>
        <v>29.226932999999988</v>
      </c>
      <c r="U588" s="311">
        <f t="shared" ca="1" si="263"/>
        <v>0</v>
      </c>
      <c r="V588" s="306">
        <f t="shared" ca="1" si="264"/>
        <v>1.2251730903948992</v>
      </c>
      <c r="W588" s="304">
        <f t="shared" ca="1" si="265"/>
        <v>27.445668474596228</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0.57324417416801587</v>
      </c>
      <c r="AH588" s="304">
        <f t="shared" ca="1" si="289"/>
        <v>-9.2121000759167408</v>
      </c>
    </row>
    <row r="589" spans="1:34" x14ac:dyDescent="0.2">
      <c r="A589" s="347">
        <f t="shared" ca="1" si="267"/>
        <v>1E-4</v>
      </c>
      <c r="B589" s="304">
        <f t="shared" ca="1" si="268"/>
        <v>37.008100000000489</v>
      </c>
      <c r="D589" s="306">
        <f t="shared" ca="1" si="269"/>
        <v>-0.6527126998542282</v>
      </c>
      <c r="E589" s="307">
        <f t="shared" ca="1" si="270"/>
        <v>-0.62103286221162612</v>
      </c>
      <c r="F589" s="304">
        <f t="shared" ca="1" si="271"/>
        <v>0.90095265386021284</v>
      </c>
      <c r="G589" s="306">
        <f t="shared" ca="1" si="272"/>
        <v>7.4107200652971352</v>
      </c>
      <c r="H589" s="307">
        <f t="shared" ca="1" si="273"/>
        <v>-104.32998082269783</v>
      </c>
      <c r="I589" s="304">
        <f t="shared" ca="1" si="274"/>
        <v>104.59284712804551</v>
      </c>
      <c r="J589" s="306">
        <f t="shared" ca="1" si="275"/>
        <v>839.7136314269211</v>
      </c>
      <c r="K589" s="307">
        <f t="shared" ca="1" si="276"/>
        <v>-1.4233159915121609</v>
      </c>
      <c r="L589" s="304">
        <f t="shared" ca="1" si="261"/>
        <v>839.71483768753239</v>
      </c>
      <c r="M589" s="306">
        <f t="shared" ca="1" si="277"/>
        <v>-1.4998838809806025</v>
      </c>
      <c r="N589" s="304">
        <f t="shared" ca="1" si="278"/>
        <v>-85.937016139890815</v>
      </c>
      <c r="P589" s="310">
        <f t="shared" ca="1" si="279"/>
        <v>23</v>
      </c>
      <c r="Q589" s="304">
        <f t="shared" ca="1" si="280"/>
        <v>0</v>
      </c>
      <c r="R589" s="306">
        <f t="shared" ca="1" si="281"/>
        <v>0</v>
      </c>
      <c r="S589" s="307">
        <f t="shared" ca="1" si="282"/>
        <v>2.9792999999999985</v>
      </c>
      <c r="T589" s="304">
        <f t="shared" ca="1" si="262"/>
        <v>29.226932999999988</v>
      </c>
      <c r="U589" s="311">
        <f t="shared" ca="1" si="263"/>
        <v>0</v>
      </c>
      <c r="V589" s="306">
        <f t="shared" ca="1" si="264"/>
        <v>1.2251743686180425</v>
      </c>
      <c r="W589" s="304">
        <f t="shared" ca="1" si="265"/>
        <v>27.445727192129844</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0.57322492729209173</v>
      </c>
      <c r="AH589" s="304">
        <f t="shared" ca="1" si="289"/>
        <v>-9.2121197847132699</v>
      </c>
    </row>
    <row r="590" spans="1:34" x14ac:dyDescent="0.2">
      <c r="A590" s="347">
        <f t="shared" ca="1" si="267"/>
        <v>1E-4</v>
      </c>
      <c r="B590" s="304">
        <f t="shared" ca="1" si="268"/>
        <v>37.008200000000492</v>
      </c>
      <c r="D590" s="306">
        <f t="shared" ca="1" si="269"/>
        <v>-0.65270798970692789</v>
      </c>
      <c r="E590" s="307">
        <f t="shared" ca="1" si="270"/>
        <v>-0.62101276948380679</v>
      </c>
      <c r="F590" s="304">
        <f t="shared" ca="1" si="271"/>
        <v>0.90093539151773072</v>
      </c>
      <c r="G590" s="306">
        <f t="shared" ca="1" si="272"/>
        <v>7.4106547944981642</v>
      </c>
      <c r="H590" s="307">
        <f t="shared" ca="1" si="273"/>
        <v>-104.33004292397479</v>
      </c>
      <c r="I590" s="304">
        <f t="shared" ca="1" si="274"/>
        <v>104.59290444863667</v>
      </c>
      <c r="J590" s="306">
        <f t="shared" ca="1" si="275"/>
        <v>839.7136314269211</v>
      </c>
      <c r="K590" s="307">
        <f t="shared" ca="1" si="276"/>
        <v>-1.4337489926994946</v>
      </c>
      <c r="L590" s="304">
        <f t="shared" ca="1" si="261"/>
        <v>839.71485543627318</v>
      </c>
      <c r="M590" s="306">
        <f t="shared" ca="1" si="277"/>
        <v>-1.4998845455268461</v>
      </c>
      <c r="N590" s="304">
        <f t="shared" ca="1" si="278"/>
        <v>-85.93705421558586</v>
      </c>
      <c r="P590" s="310">
        <f t="shared" ca="1" si="279"/>
        <v>23</v>
      </c>
      <c r="Q590" s="304">
        <f t="shared" ca="1" si="280"/>
        <v>0</v>
      </c>
      <c r="R590" s="306">
        <f t="shared" ca="1" si="281"/>
        <v>0</v>
      </c>
      <c r="S590" s="307">
        <f t="shared" ca="1" si="282"/>
        <v>2.9792999999999985</v>
      </c>
      <c r="T590" s="304">
        <f t="shared" ca="1" si="262"/>
        <v>29.226932999999988</v>
      </c>
      <c r="U590" s="311">
        <f t="shared" ca="1" si="263"/>
        <v>0</v>
      </c>
      <c r="V590" s="306">
        <f t="shared" ca="1" si="264"/>
        <v>1.22517564684328</v>
      </c>
      <c r="W590" s="304">
        <f t="shared" ca="1" si="265"/>
        <v>27.445785908779534</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0.57320568070394629</v>
      </c>
      <c r="AH590" s="304">
        <f t="shared" ca="1" si="289"/>
        <v>-9.2121394932131224</v>
      </c>
    </row>
    <row r="591" spans="1:34" x14ac:dyDescent="0.2">
      <c r="A591" s="347">
        <f t="shared" ca="1" si="267"/>
        <v>1E-4</v>
      </c>
      <c r="B591" s="304">
        <f t="shared" ca="1" si="268"/>
        <v>37.008300000000496</v>
      </c>
      <c r="D591" s="306">
        <f t="shared" ca="1" si="269"/>
        <v>-0.65270327957267016</v>
      </c>
      <c r="E591" s="307">
        <f t="shared" ca="1" si="270"/>
        <v>-0.62099267705842642</v>
      </c>
      <c r="F591" s="304">
        <f t="shared" ca="1" si="271"/>
        <v>0.90091812953514838</v>
      </c>
      <c r="G591" s="306">
        <f t="shared" ca="1" si="272"/>
        <v>7.4105895241702067</v>
      </c>
      <c r="H591" s="307">
        <f t="shared" ca="1" si="273"/>
        <v>-104.3301050232425</v>
      </c>
      <c r="I591" s="304">
        <f t="shared" ca="1" si="274"/>
        <v>104.59296176730321</v>
      </c>
      <c r="J591" s="306">
        <f t="shared" ca="1" si="275"/>
        <v>839.7136314269211</v>
      </c>
      <c r="K591" s="307">
        <f t="shared" ca="1" si="276"/>
        <v>-1.4441820000968555</v>
      </c>
      <c r="L591" s="304">
        <f t="shared" ca="1" si="261"/>
        <v>839.71487331464868</v>
      </c>
      <c r="M591" s="306">
        <f t="shared" ca="1" si="277"/>
        <v>-1.4998852100665085</v>
      </c>
      <c r="N591" s="304">
        <f t="shared" ca="1" si="278"/>
        <v>-85.937092290903834</v>
      </c>
      <c r="P591" s="310">
        <f t="shared" ca="1" si="279"/>
        <v>23</v>
      </c>
      <c r="Q591" s="304">
        <f t="shared" ca="1" si="280"/>
        <v>0</v>
      </c>
      <c r="R591" s="306">
        <f t="shared" ca="1" si="281"/>
        <v>0</v>
      </c>
      <c r="S591" s="307">
        <f t="shared" ca="1" si="282"/>
        <v>2.9792999999999985</v>
      </c>
      <c r="T591" s="304">
        <f t="shared" ca="1" si="262"/>
        <v>29.226932999999988</v>
      </c>
      <c r="U591" s="311">
        <f t="shared" ca="1" si="263"/>
        <v>0</v>
      </c>
      <c r="V591" s="306">
        <f t="shared" ca="1" si="264"/>
        <v>1.2251769250706122</v>
      </c>
      <c r="W591" s="304">
        <f t="shared" ca="1" si="265"/>
        <v>27.445844624545334</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0.57318643440359374</v>
      </c>
      <c r="AH591" s="304">
        <f t="shared" ca="1" si="289"/>
        <v>-9.2121592014162879</v>
      </c>
    </row>
    <row r="592" spans="1:34" x14ac:dyDescent="0.2">
      <c r="A592" s="347">
        <f t="shared" ca="1" si="267"/>
        <v>1E-4</v>
      </c>
      <c r="B592" s="304">
        <f t="shared" ca="1" si="268"/>
        <v>37.008400000000499</v>
      </c>
      <c r="D592" s="306">
        <f t="shared" ca="1" si="269"/>
        <v>-0.65269856945145066</v>
      </c>
      <c r="E592" s="307">
        <f t="shared" ca="1" si="270"/>
        <v>-0.62097258493547614</v>
      </c>
      <c r="F592" s="304">
        <f t="shared" ca="1" si="271"/>
        <v>0.90090086791245649</v>
      </c>
      <c r="G592" s="306">
        <f t="shared" ca="1" si="272"/>
        <v>7.4105242543132617</v>
      </c>
      <c r="H592" s="307">
        <f t="shared" ca="1" si="273"/>
        <v>-104.33016712050099</v>
      </c>
      <c r="I592" s="304">
        <f t="shared" ca="1" si="274"/>
        <v>104.59301908404514</v>
      </c>
      <c r="J592" s="306">
        <f t="shared" ca="1" si="275"/>
        <v>839.7136314269211</v>
      </c>
      <c r="K592" s="307">
        <f t="shared" ca="1" si="276"/>
        <v>-1.4546150137040426</v>
      </c>
      <c r="L592" s="304">
        <f t="shared" ca="1" si="261"/>
        <v>839.71489132265913</v>
      </c>
      <c r="M592" s="306">
        <f t="shared" ca="1" si="277"/>
        <v>-1.4998858745995896</v>
      </c>
      <c r="N592" s="304">
        <f t="shared" ca="1" si="278"/>
        <v>-85.937130365844723</v>
      </c>
      <c r="P592" s="310">
        <f t="shared" ca="1" si="279"/>
        <v>23</v>
      </c>
      <c r="Q592" s="304">
        <f t="shared" ca="1" si="280"/>
        <v>0</v>
      </c>
      <c r="R592" s="306">
        <f t="shared" ca="1" si="281"/>
        <v>0</v>
      </c>
      <c r="S592" s="307">
        <f t="shared" ca="1" si="282"/>
        <v>2.9792999999999985</v>
      </c>
      <c r="T592" s="304">
        <f t="shared" ca="1" si="262"/>
        <v>29.226932999999988</v>
      </c>
      <c r="U592" s="311">
        <f t="shared" ca="1" si="263"/>
        <v>0</v>
      </c>
      <c r="V592" s="306">
        <f t="shared" ca="1" si="264"/>
        <v>1.2251782033000385</v>
      </c>
      <c r="W592" s="304">
        <f t="shared" ca="1" si="265"/>
        <v>27.445903339427243</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0.57316718839102343</v>
      </c>
      <c r="AH592" s="304">
        <f t="shared" ca="1" si="289"/>
        <v>-9.2121789093227768</v>
      </c>
    </row>
    <row r="593" spans="1:34" x14ac:dyDescent="0.2">
      <c r="A593" s="347">
        <f t="shared" ca="1" si="267"/>
        <v>1E-4</v>
      </c>
      <c r="B593" s="304">
        <f t="shared" ca="1" si="268"/>
        <v>37.008500000000502</v>
      </c>
      <c r="D593" s="306">
        <f t="shared" ca="1" si="269"/>
        <v>-0.65269385934327218</v>
      </c>
      <c r="E593" s="307">
        <f t="shared" ca="1" si="270"/>
        <v>-0.62095249311495593</v>
      </c>
      <c r="F593" s="304">
        <f t="shared" ca="1" si="271"/>
        <v>0.90088360664965739</v>
      </c>
      <c r="G593" s="306">
        <f t="shared" ca="1" si="272"/>
        <v>7.4104589849273275</v>
      </c>
      <c r="H593" s="307">
        <f t="shared" ca="1" si="273"/>
        <v>-104.33022921575029</v>
      </c>
      <c r="I593" s="304">
        <f t="shared" ca="1" si="274"/>
        <v>104.59307639886249</v>
      </c>
      <c r="J593" s="306">
        <f t="shared" ca="1" si="275"/>
        <v>839.7136314269211</v>
      </c>
      <c r="K593" s="307">
        <f t="shared" ca="1" si="276"/>
        <v>-1.4650480335208551</v>
      </c>
      <c r="L593" s="304">
        <f t="shared" ca="1" si="261"/>
        <v>839.71490946030463</v>
      </c>
      <c r="M593" s="306">
        <f t="shared" ca="1" si="277"/>
        <v>-1.4998865391260892</v>
      </c>
      <c r="N593" s="304">
        <f t="shared" ca="1" si="278"/>
        <v>-85.937168440408527</v>
      </c>
      <c r="P593" s="310">
        <f t="shared" ca="1" si="279"/>
        <v>23</v>
      </c>
      <c r="Q593" s="304">
        <f t="shared" ca="1" si="280"/>
        <v>0</v>
      </c>
      <c r="R593" s="306">
        <f t="shared" ca="1" si="281"/>
        <v>0</v>
      </c>
      <c r="S593" s="307">
        <f t="shared" ca="1" si="282"/>
        <v>2.9792999999999985</v>
      </c>
      <c r="T593" s="304">
        <f t="shared" ca="1" si="262"/>
        <v>29.226932999999988</v>
      </c>
      <c r="U593" s="311">
        <f t="shared" ca="1" si="263"/>
        <v>0</v>
      </c>
      <c r="V593" s="306">
        <f t="shared" ca="1" si="264"/>
        <v>1.22517948153156</v>
      </c>
      <c r="W593" s="304">
        <f t="shared" ca="1" si="265"/>
        <v>27.445962053425294</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0.57314794266623181</v>
      </c>
      <c r="AH593" s="304">
        <f t="shared" ca="1" si="289"/>
        <v>-9.2121986169325876</v>
      </c>
    </row>
    <row r="594" spans="1:34" x14ac:dyDescent="0.2">
      <c r="A594" s="347">
        <f t="shared" ca="1" si="267"/>
        <v>1E-4</v>
      </c>
      <c r="B594" s="304">
        <f t="shared" ca="1" si="268"/>
        <v>37.008600000000506</v>
      </c>
      <c r="D594" s="306">
        <f t="shared" ca="1" si="269"/>
        <v>-0.65268914924813648</v>
      </c>
      <c r="E594" s="307">
        <f t="shared" ca="1" si="270"/>
        <v>-0.62093240159685514</v>
      </c>
      <c r="F594" s="304">
        <f t="shared" ca="1" si="271"/>
        <v>0.90086634574674529</v>
      </c>
      <c r="G594" s="306">
        <f t="shared" ca="1" si="272"/>
        <v>7.4103937160124023</v>
      </c>
      <c r="H594" s="307">
        <f t="shared" ca="1" si="273"/>
        <v>-104.33029130899045</v>
      </c>
      <c r="I594" s="304">
        <f t="shared" ca="1" si="274"/>
        <v>104.59313371175531</v>
      </c>
      <c r="J594" s="306">
        <f t="shared" ca="1" si="275"/>
        <v>839.7136314269211</v>
      </c>
      <c r="K594" s="307">
        <f t="shared" ca="1" si="276"/>
        <v>-1.4754810595470922</v>
      </c>
      <c r="L594" s="304">
        <f t="shared" ca="1" si="261"/>
        <v>839.71492772758552</v>
      </c>
      <c r="M594" s="306">
        <f t="shared" ca="1" si="277"/>
        <v>-1.4998872036460076</v>
      </c>
      <c r="N594" s="304">
        <f t="shared" ca="1" si="278"/>
        <v>-85.93720651459526</v>
      </c>
      <c r="P594" s="310">
        <f t="shared" ca="1" si="279"/>
        <v>23</v>
      </c>
      <c r="Q594" s="304">
        <f t="shared" ca="1" si="280"/>
        <v>0</v>
      </c>
      <c r="R594" s="306">
        <f t="shared" ca="1" si="281"/>
        <v>0</v>
      </c>
      <c r="S594" s="307">
        <f t="shared" ca="1" si="282"/>
        <v>2.9792999999999985</v>
      </c>
      <c r="T594" s="304">
        <f t="shared" ca="1" si="262"/>
        <v>29.226932999999988</v>
      </c>
      <c r="U594" s="311">
        <f t="shared" ca="1" si="263"/>
        <v>0</v>
      </c>
      <c r="V594" s="306">
        <f t="shared" ca="1" si="264"/>
        <v>1.2251807597651752</v>
      </c>
      <c r="W594" s="304">
        <f t="shared" ca="1" si="265"/>
        <v>27.44602076653948</v>
      </c>
      <c r="Y594" s="314" t="str">
        <f t="shared" ca="1" si="283"/>
        <v/>
      </c>
      <c r="Z594" s="315" t="str">
        <f t="shared" ca="1" si="284"/>
        <v/>
      </c>
      <c r="AA594" s="316" t="str">
        <f t="shared" ca="1" si="285"/>
        <v/>
      </c>
      <c r="AC594" s="310" t="e">
        <f t="shared" ca="1" si="286"/>
        <v>#N/A</v>
      </c>
      <c r="AD594" s="323" t="e">
        <f t="shared" ca="1" si="287"/>
        <v>#N/A</v>
      </c>
      <c r="AE594" s="324" t="e">
        <f t="shared" ca="1" si="266"/>
        <v>#N/A</v>
      </c>
      <c r="AG594" s="306">
        <f t="shared" ca="1" si="288"/>
        <v>0.57312869722921533</v>
      </c>
      <c r="AH594" s="304">
        <f t="shared" ca="1" si="289"/>
        <v>-9.2122183242457307</v>
      </c>
    </row>
    <row r="595" spans="1:34" x14ac:dyDescent="0.2">
      <c r="A595" s="347">
        <f t="shared" ca="1" si="267"/>
        <v>1E-4</v>
      </c>
      <c r="B595" s="304">
        <f t="shared" ca="1" si="268"/>
        <v>37.008700000000509</v>
      </c>
      <c r="D595" s="306">
        <f t="shared" ca="1" si="269"/>
        <v>-0.65268443916604257</v>
      </c>
      <c r="E595" s="307">
        <f t="shared" ca="1" si="270"/>
        <v>-0.62091231038117378</v>
      </c>
      <c r="F595" s="304">
        <f t="shared" ca="1" si="271"/>
        <v>0.90084908520371976</v>
      </c>
      <c r="G595" s="306">
        <f t="shared" ca="1" si="272"/>
        <v>7.4103284475684861</v>
      </c>
      <c r="H595" s="307">
        <f t="shared" ca="1" si="273"/>
        <v>-104.3303534002215</v>
      </c>
      <c r="I595" s="304">
        <f t="shared" ca="1" si="274"/>
        <v>104.59319102272362</v>
      </c>
      <c r="J595" s="306">
        <f t="shared" ca="1" si="275"/>
        <v>839.7136314269211</v>
      </c>
      <c r="K595" s="307">
        <f t="shared" ca="1" si="276"/>
        <v>-1.4859140917825528</v>
      </c>
      <c r="L595" s="304">
        <f t="shared" ca="1" si="261"/>
        <v>839.71494612450192</v>
      </c>
      <c r="M595" s="306">
        <f t="shared" ca="1" si="277"/>
        <v>-1.4998878681593448</v>
      </c>
      <c r="N595" s="304">
        <f t="shared" ca="1" si="278"/>
        <v>-85.937244588404909</v>
      </c>
      <c r="P595" s="310">
        <f t="shared" ca="1" si="279"/>
        <v>23</v>
      </c>
      <c r="Q595" s="304">
        <f t="shared" ca="1" si="280"/>
        <v>0</v>
      </c>
      <c r="R595" s="306">
        <f t="shared" ca="1" si="281"/>
        <v>0</v>
      </c>
      <c r="S595" s="307">
        <f t="shared" ca="1" si="282"/>
        <v>2.9792999999999985</v>
      </c>
      <c r="T595" s="304">
        <f t="shared" ca="1" si="262"/>
        <v>29.226932999999988</v>
      </c>
      <c r="U595" s="311">
        <f t="shared" ca="1" si="263"/>
        <v>0</v>
      </c>
      <c r="V595" s="306">
        <f t="shared" ca="1" si="264"/>
        <v>1.2251820380008851</v>
      </c>
      <c r="W595" s="304">
        <f t="shared" ca="1" si="265"/>
        <v>27.4460794787698</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0.57310945207996866</v>
      </c>
      <c r="AH595" s="304">
        <f t="shared" ca="1" si="289"/>
        <v>-9.2122380312622063</v>
      </c>
    </row>
    <row r="596" spans="1:34" x14ac:dyDescent="0.2">
      <c r="A596" s="347">
        <f t="shared" ca="1" si="267"/>
        <v>1E-4</v>
      </c>
      <c r="B596" s="304">
        <f t="shared" ca="1" si="268"/>
        <v>37.008800000000512</v>
      </c>
      <c r="D596" s="306">
        <f t="shared" ca="1" si="269"/>
        <v>-0.65267972909699135</v>
      </c>
      <c r="E596" s="307">
        <f t="shared" ca="1" si="270"/>
        <v>-0.62089221946791184</v>
      </c>
      <c r="F596" s="304">
        <f t="shared" ca="1" si="271"/>
        <v>0.90083182502058157</v>
      </c>
      <c r="G596" s="306">
        <f t="shared" ca="1" si="272"/>
        <v>7.4102631795955762</v>
      </c>
      <c r="H596" s="307">
        <f t="shared" ca="1" si="273"/>
        <v>-104.33041548944344</v>
      </c>
      <c r="I596" s="304">
        <f t="shared" ca="1" si="274"/>
        <v>104.59324833176743</v>
      </c>
      <c r="J596" s="306">
        <f t="shared" ca="1" si="275"/>
        <v>839.7136314269211</v>
      </c>
      <c r="K596" s="307">
        <f t="shared" ca="1" si="276"/>
        <v>-1.4963471302270361</v>
      </c>
      <c r="L596" s="304">
        <f t="shared" ca="1" si="261"/>
        <v>839.71496465105417</v>
      </c>
      <c r="M596" s="306">
        <f t="shared" ca="1" si="277"/>
        <v>-1.4998885326661013</v>
      </c>
      <c r="N596" s="304">
        <f t="shared" ca="1" si="278"/>
        <v>-85.937282661837514</v>
      </c>
      <c r="P596" s="310">
        <f t="shared" ca="1" si="279"/>
        <v>23</v>
      </c>
      <c r="Q596" s="304">
        <f t="shared" ca="1" si="280"/>
        <v>0</v>
      </c>
      <c r="R596" s="306">
        <f t="shared" ca="1" si="281"/>
        <v>0</v>
      </c>
      <c r="S596" s="307">
        <f t="shared" ca="1" si="282"/>
        <v>2.9792999999999985</v>
      </c>
      <c r="T596" s="304">
        <f t="shared" ca="1" si="262"/>
        <v>29.226932999999988</v>
      </c>
      <c r="U596" s="311">
        <f t="shared" ca="1" si="263"/>
        <v>0</v>
      </c>
      <c r="V596" s="306">
        <f t="shared" ca="1" si="264"/>
        <v>1.2251833162386891</v>
      </c>
      <c r="W596" s="304">
        <f t="shared" ca="1" si="265"/>
        <v>27.446138190116276</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0.57309020721849535</v>
      </c>
      <c r="AH596" s="304">
        <f t="shared" ca="1" si="289"/>
        <v>-9.2122577379820143</v>
      </c>
    </row>
    <row r="597" spans="1:34" x14ac:dyDescent="0.2">
      <c r="A597" s="347">
        <f t="shared" ca="1" si="267"/>
        <v>1E-4</v>
      </c>
      <c r="B597" s="304">
        <f t="shared" ca="1" si="268"/>
        <v>37.008900000000516</v>
      </c>
      <c r="D597" s="306">
        <f t="shared" ca="1" si="269"/>
        <v>-0.65267501904098013</v>
      </c>
      <c r="E597" s="307">
        <f t="shared" ca="1" si="270"/>
        <v>-0.62087212885706577</v>
      </c>
      <c r="F597" s="304">
        <f t="shared" ca="1" si="271"/>
        <v>0.90081456519732661</v>
      </c>
      <c r="G597" s="306">
        <f t="shared" ca="1" si="272"/>
        <v>7.4101979120936718</v>
      </c>
      <c r="H597" s="307">
        <f t="shared" ca="1" si="273"/>
        <v>-104.33047757665632</v>
      </c>
      <c r="I597" s="304">
        <f t="shared" ca="1" si="274"/>
        <v>104.59330563888678</v>
      </c>
      <c r="J597" s="306">
        <f t="shared" ca="1" si="275"/>
        <v>839.7136314269211</v>
      </c>
      <c r="K597" s="307">
        <f t="shared" ca="1" si="276"/>
        <v>-1.5067801748803411</v>
      </c>
      <c r="L597" s="304">
        <f t="shared" ca="1" si="261"/>
        <v>839.71498330724251</v>
      </c>
      <c r="M597" s="306">
        <f t="shared" ca="1" si="277"/>
        <v>-1.4998891971662767</v>
      </c>
      <c r="N597" s="304">
        <f t="shared" ca="1" si="278"/>
        <v>-85.937320734893049</v>
      </c>
      <c r="P597" s="310">
        <f t="shared" ca="1" si="279"/>
        <v>23</v>
      </c>
      <c r="Q597" s="304">
        <f t="shared" ca="1" si="280"/>
        <v>0</v>
      </c>
      <c r="R597" s="306">
        <f t="shared" ca="1" si="281"/>
        <v>0</v>
      </c>
      <c r="S597" s="307">
        <f t="shared" ca="1" si="282"/>
        <v>2.9792999999999985</v>
      </c>
      <c r="T597" s="304">
        <f t="shared" ca="1" si="262"/>
        <v>29.226932999999988</v>
      </c>
      <c r="U597" s="311">
        <f t="shared" ca="1" si="263"/>
        <v>0</v>
      </c>
      <c r="V597" s="306">
        <f t="shared" ca="1" si="264"/>
        <v>1.225184594478588</v>
      </c>
      <c r="W597" s="304">
        <f t="shared" ca="1" si="265"/>
        <v>27.446196900578926</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0.57307096264479185</v>
      </c>
      <c r="AH597" s="304">
        <f t="shared" ca="1" si="289"/>
        <v>-9.2122774444051583</v>
      </c>
    </row>
    <row r="598" spans="1:34" x14ac:dyDescent="0.2">
      <c r="A598" s="347">
        <f t="shared" ca="1" si="267"/>
        <v>1E-4</v>
      </c>
      <c r="B598" s="304">
        <f t="shared" ca="1" si="268"/>
        <v>37.009000000000519</v>
      </c>
      <c r="D598" s="306">
        <f t="shared" ca="1" si="269"/>
        <v>-0.65267030899801459</v>
      </c>
      <c r="E598" s="307">
        <f t="shared" ca="1" si="270"/>
        <v>-0.62085203854862492</v>
      </c>
      <c r="F598" s="304">
        <f t="shared" ca="1" si="271"/>
        <v>0.900797305733952</v>
      </c>
      <c r="G598" s="306">
        <f t="shared" ca="1" si="272"/>
        <v>7.410132645062772</v>
      </c>
      <c r="H598" s="307">
        <f t="shared" ca="1" si="273"/>
        <v>-104.33053966186017</v>
      </c>
      <c r="I598" s="304">
        <f t="shared" ca="1" si="274"/>
        <v>104.5933629440817</v>
      </c>
      <c r="J598" s="306">
        <f t="shared" ca="1" si="275"/>
        <v>839.7136314269211</v>
      </c>
      <c r="K598" s="307">
        <f t="shared" ca="1" si="276"/>
        <v>-1.517213225742267</v>
      </c>
      <c r="L598" s="304">
        <f t="shared" ca="1" si="261"/>
        <v>839.71500209306703</v>
      </c>
      <c r="M598" s="306">
        <f t="shared" ca="1" si="277"/>
        <v>-1.499889861659871</v>
      </c>
      <c r="N598" s="304">
        <f t="shared" ca="1" si="278"/>
        <v>-85.937358807571513</v>
      </c>
      <c r="P598" s="310">
        <f t="shared" ca="1" si="279"/>
        <v>23</v>
      </c>
      <c r="Q598" s="304">
        <f t="shared" ca="1" si="280"/>
        <v>0</v>
      </c>
      <c r="R598" s="306">
        <f t="shared" ca="1" si="281"/>
        <v>0</v>
      </c>
      <c r="S598" s="307">
        <f t="shared" ca="1" si="282"/>
        <v>2.9792999999999985</v>
      </c>
      <c r="T598" s="304">
        <f t="shared" ca="1" si="262"/>
        <v>29.226932999999988</v>
      </c>
      <c r="U598" s="311">
        <f t="shared" ca="1" si="263"/>
        <v>0</v>
      </c>
      <c r="V598" s="306">
        <f t="shared" ca="1" si="264"/>
        <v>1.2251858727205811</v>
      </c>
      <c r="W598" s="304">
        <f t="shared" ca="1" si="265"/>
        <v>27.446255610157753</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0.57305171835884572</v>
      </c>
      <c r="AH598" s="304">
        <f t="shared" ca="1" si="289"/>
        <v>-9.2122971505316489</v>
      </c>
    </row>
    <row r="599" spans="1:34" x14ac:dyDescent="0.2">
      <c r="A599" s="347">
        <f t="shared" ca="1" si="267"/>
        <v>1E-4</v>
      </c>
      <c r="B599" s="304">
        <f t="shared" ca="1" si="268"/>
        <v>37.009100000000522</v>
      </c>
      <c r="D599" s="306">
        <f t="shared" ca="1" si="269"/>
        <v>-0.65266559896809351</v>
      </c>
      <c r="E599" s="307">
        <f t="shared" ca="1" si="270"/>
        <v>-0.62083194854259283</v>
      </c>
      <c r="F599" s="304">
        <f t="shared" ca="1" si="271"/>
        <v>0.90078004663045952</v>
      </c>
      <c r="G599" s="306">
        <f t="shared" ca="1" si="272"/>
        <v>7.410067378502875</v>
      </c>
      <c r="H599" s="307">
        <f t="shared" ca="1" si="273"/>
        <v>-104.33060174505502</v>
      </c>
      <c r="I599" s="304">
        <f t="shared" ca="1" si="274"/>
        <v>104.59342024735223</v>
      </c>
      <c r="J599" s="306">
        <f t="shared" ca="1" si="275"/>
        <v>839.7136314269211</v>
      </c>
      <c r="K599" s="307">
        <f t="shared" ca="1" si="276"/>
        <v>-1.5276462828126127</v>
      </c>
      <c r="L599" s="304">
        <f t="shared" ca="1" si="261"/>
        <v>839.71502100852797</v>
      </c>
      <c r="M599" s="306">
        <f t="shared" ca="1" si="277"/>
        <v>-1.4998905261468847</v>
      </c>
      <c r="N599" s="304">
        <f t="shared" ca="1" si="278"/>
        <v>-85.937396879872935</v>
      </c>
      <c r="P599" s="310">
        <f t="shared" ca="1" si="279"/>
        <v>23</v>
      </c>
      <c r="Q599" s="304">
        <f t="shared" ca="1" si="280"/>
        <v>0</v>
      </c>
      <c r="R599" s="306">
        <f t="shared" ca="1" si="281"/>
        <v>0</v>
      </c>
      <c r="S599" s="307">
        <f t="shared" ca="1" si="282"/>
        <v>2.9792999999999985</v>
      </c>
      <c r="T599" s="304">
        <f t="shared" ca="1" si="262"/>
        <v>29.226932999999988</v>
      </c>
      <c r="U599" s="311">
        <f t="shared" ca="1" si="263"/>
        <v>0</v>
      </c>
      <c r="V599" s="306">
        <f t="shared" ca="1" si="264"/>
        <v>1.2251871509646683</v>
      </c>
      <c r="W599" s="304">
        <f t="shared" ca="1" si="265"/>
        <v>27.446314318852764</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0.57303247436066407</v>
      </c>
      <c r="AH599" s="304">
        <f t="shared" ca="1" si="289"/>
        <v>-9.2123168563614826</v>
      </c>
    </row>
    <row r="600" spans="1:34" x14ac:dyDescent="0.2">
      <c r="A600" s="347">
        <f t="shared" ca="1" si="267"/>
        <v>1E-4</v>
      </c>
      <c r="B600" s="304">
        <f t="shared" ca="1" si="268"/>
        <v>37.009200000000526</v>
      </c>
      <c r="D600" s="306">
        <f t="shared" ca="1" si="269"/>
        <v>-0.65266088895121632</v>
      </c>
      <c r="E600" s="307">
        <f t="shared" ca="1" si="270"/>
        <v>-0.62081185883896239</v>
      </c>
      <c r="F600" s="304">
        <f t="shared" ca="1" si="271"/>
        <v>0.90076278788684405</v>
      </c>
      <c r="G600" s="306">
        <f t="shared" ca="1" si="272"/>
        <v>7.4100021124139799</v>
      </c>
      <c r="H600" s="307">
        <f t="shared" ca="1" si="273"/>
        <v>-104.33066382624091</v>
      </c>
      <c r="I600" s="304">
        <f t="shared" ca="1" si="274"/>
        <v>104.59347754869837</v>
      </c>
      <c r="J600" s="306">
        <f t="shared" ca="1" si="275"/>
        <v>839.7136314269211</v>
      </c>
      <c r="K600" s="307">
        <f t="shared" ca="1" si="276"/>
        <v>-1.5380793460911775</v>
      </c>
      <c r="L600" s="304">
        <f t="shared" ca="1" si="261"/>
        <v>839.71504005362556</v>
      </c>
      <c r="M600" s="306">
        <f t="shared" ca="1" si="277"/>
        <v>-1.4998911906273178</v>
      </c>
      <c r="N600" s="304">
        <f t="shared" ca="1" si="278"/>
        <v>-85.937434951797329</v>
      </c>
      <c r="P600" s="310">
        <f t="shared" ca="1" si="279"/>
        <v>23</v>
      </c>
      <c r="Q600" s="304">
        <f t="shared" ca="1" si="280"/>
        <v>0</v>
      </c>
      <c r="R600" s="306">
        <f t="shared" ca="1" si="281"/>
        <v>0</v>
      </c>
      <c r="S600" s="307">
        <f t="shared" ca="1" si="282"/>
        <v>2.9792999999999985</v>
      </c>
      <c r="T600" s="304">
        <f t="shared" ca="1" si="262"/>
        <v>29.226932999999988</v>
      </c>
      <c r="U600" s="311">
        <f t="shared" ca="1" si="263"/>
        <v>0</v>
      </c>
      <c r="V600" s="306">
        <f t="shared" ca="1" si="264"/>
        <v>1.2251884292108499</v>
      </c>
      <c r="W600" s="304">
        <f t="shared" ca="1" si="265"/>
        <v>27.446373026663963</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0.57301323065023624</v>
      </c>
      <c r="AH600" s="304">
        <f t="shared" ca="1" si="289"/>
        <v>-9.2123365618946664</v>
      </c>
    </row>
    <row r="601" spans="1:34" x14ac:dyDescent="0.2">
      <c r="A601" s="347">
        <f t="shared" ca="1" si="267"/>
        <v>1E-4</v>
      </c>
      <c r="B601" s="304">
        <f t="shared" ca="1" si="268"/>
        <v>37.009300000000529</v>
      </c>
      <c r="D601" s="306">
        <f t="shared" ca="1" si="269"/>
        <v>-0.6526561789473817</v>
      </c>
      <c r="E601" s="307">
        <f t="shared" ca="1" si="270"/>
        <v>-0.62079176943773717</v>
      </c>
      <c r="F601" s="304">
        <f t="shared" ca="1" si="271"/>
        <v>0.90074552950310749</v>
      </c>
      <c r="G601" s="306">
        <f t="shared" ca="1" si="272"/>
        <v>7.4099368467960849</v>
      </c>
      <c r="H601" s="307">
        <f t="shared" ca="1" si="273"/>
        <v>-104.33072590541785</v>
      </c>
      <c r="I601" s="304">
        <f t="shared" ca="1" si="274"/>
        <v>104.5935348481202</v>
      </c>
      <c r="J601" s="306">
        <f t="shared" ca="1" si="275"/>
        <v>839.7136314269211</v>
      </c>
      <c r="K601" s="307">
        <f t="shared" ca="1" si="276"/>
        <v>-1.5485124155777603</v>
      </c>
      <c r="L601" s="304">
        <f t="shared" ca="1" si="261"/>
        <v>839.71505922836013</v>
      </c>
      <c r="M601" s="306">
        <f t="shared" ca="1" si="277"/>
        <v>-1.49989185510117</v>
      </c>
      <c r="N601" s="304">
        <f t="shared" ca="1" si="278"/>
        <v>-85.937473023344651</v>
      </c>
      <c r="P601" s="310">
        <f t="shared" ca="1" si="279"/>
        <v>23</v>
      </c>
      <c r="Q601" s="304">
        <f t="shared" ca="1" si="280"/>
        <v>0</v>
      </c>
      <c r="R601" s="306">
        <f t="shared" ca="1" si="281"/>
        <v>0</v>
      </c>
      <c r="S601" s="307">
        <f t="shared" ca="1" si="282"/>
        <v>2.9792999999999985</v>
      </c>
      <c r="T601" s="304">
        <f t="shared" ca="1" si="262"/>
        <v>29.226932999999988</v>
      </c>
      <c r="U601" s="311">
        <f t="shared" ca="1" si="263"/>
        <v>0</v>
      </c>
      <c r="V601" s="306">
        <f t="shared" ca="1" si="264"/>
        <v>1.2251897074591263</v>
      </c>
      <c r="W601" s="304">
        <f t="shared" ca="1" si="265"/>
        <v>27.446431733591396</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0.57299398722756756</v>
      </c>
      <c r="AH601" s="304">
        <f t="shared" ca="1" si="289"/>
        <v>-9.2123562671311969</v>
      </c>
    </row>
    <row r="602" spans="1:34" x14ac:dyDescent="0.2">
      <c r="A602" s="347">
        <f t="shared" ca="1" si="267"/>
        <v>1E-4</v>
      </c>
      <c r="B602" s="304">
        <f t="shared" ca="1" si="268"/>
        <v>37.009400000000532</v>
      </c>
      <c r="D602" s="306">
        <f t="shared" ca="1" si="269"/>
        <v>-0.65265146895659609</v>
      </c>
      <c r="E602" s="307">
        <f t="shared" ca="1" si="270"/>
        <v>-0.62077168033889762</v>
      </c>
      <c r="F602" s="304">
        <f t="shared" ca="1" si="271"/>
        <v>0.90072827147924095</v>
      </c>
      <c r="G602" s="306">
        <f t="shared" ca="1" si="272"/>
        <v>7.4098715816491891</v>
      </c>
      <c r="H602" s="307">
        <f t="shared" ca="1" si="273"/>
        <v>-104.33078798258589</v>
      </c>
      <c r="I602" s="304">
        <f t="shared" ca="1" si="274"/>
        <v>104.59359214561771</v>
      </c>
      <c r="J602" s="306">
        <f t="shared" ca="1" si="275"/>
        <v>839.7136314269211</v>
      </c>
      <c r="K602" s="307">
        <f t="shared" ca="1" si="276"/>
        <v>-1.5589454912721605</v>
      </c>
      <c r="L602" s="304">
        <f t="shared" ca="1" si="261"/>
        <v>839.71507853273181</v>
      </c>
      <c r="M602" s="306">
        <f t="shared" ca="1" si="277"/>
        <v>-1.4998925195684418</v>
      </c>
      <c r="N602" s="304">
        <f t="shared" ca="1" si="278"/>
        <v>-85.93751109451496</v>
      </c>
      <c r="P602" s="310">
        <f t="shared" ca="1" si="279"/>
        <v>23</v>
      </c>
      <c r="Q602" s="304">
        <f t="shared" ca="1" si="280"/>
        <v>0</v>
      </c>
      <c r="R602" s="306">
        <f t="shared" ca="1" si="281"/>
        <v>0</v>
      </c>
      <c r="S602" s="307">
        <f t="shared" ca="1" si="282"/>
        <v>2.9792999999999985</v>
      </c>
      <c r="T602" s="304">
        <f t="shared" ca="1" si="262"/>
        <v>29.226932999999988</v>
      </c>
      <c r="U602" s="311">
        <f t="shared" ca="1" si="263"/>
        <v>0</v>
      </c>
      <c r="V602" s="306">
        <f t="shared" ca="1" si="264"/>
        <v>1.2251909857094967</v>
      </c>
      <c r="W602" s="304">
        <f t="shared" ca="1" si="265"/>
        <v>27.446490439635035</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0.57297474409263849</v>
      </c>
      <c r="AH602" s="304">
        <f t="shared" ca="1" si="289"/>
        <v>-9.2123759720710936</v>
      </c>
    </row>
    <row r="603" spans="1:34" x14ac:dyDescent="0.2">
      <c r="A603" s="347">
        <f t="shared" ca="1" si="267"/>
        <v>1E-4</v>
      </c>
      <c r="B603" s="304">
        <f t="shared" ca="1" si="268"/>
        <v>37.009500000000536</v>
      </c>
      <c r="D603" s="306">
        <f t="shared" ca="1" si="269"/>
        <v>-0.65264675897885349</v>
      </c>
      <c r="E603" s="307">
        <f t="shared" ca="1" si="270"/>
        <v>-0.62075159154245263</v>
      </c>
      <c r="F603" s="304">
        <f t="shared" ca="1" si="271"/>
        <v>0.90071101381524676</v>
      </c>
      <c r="G603" s="306">
        <f t="shared" ca="1" si="272"/>
        <v>7.4098063169732908</v>
      </c>
      <c r="H603" s="307">
        <f t="shared" ca="1" si="273"/>
        <v>-104.33085005774504</v>
      </c>
      <c r="I603" s="304">
        <f t="shared" ca="1" si="274"/>
        <v>104.59364944119092</v>
      </c>
      <c r="J603" s="306">
        <f t="shared" ca="1" si="275"/>
        <v>839.7136314269211</v>
      </c>
      <c r="K603" s="307">
        <f t="shared" ca="1" si="276"/>
        <v>-1.5693785731741772</v>
      </c>
      <c r="L603" s="304">
        <f t="shared" ca="1" si="261"/>
        <v>839.7150979667407</v>
      </c>
      <c r="M603" s="306">
        <f t="shared" ca="1" si="277"/>
        <v>-1.4998931840291332</v>
      </c>
      <c r="N603" s="304">
        <f t="shared" ca="1" si="278"/>
        <v>-85.937549165308226</v>
      </c>
      <c r="P603" s="310">
        <f t="shared" ca="1" si="279"/>
        <v>23</v>
      </c>
      <c r="Q603" s="304">
        <f t="shared" ca="1" si="280"/>
        <v>0</v>
      </c>
      <c r="R603" s="306">
        <f t="shared" ca="1" si="281"/>
        <v>0</v>
      </c>
      <c r="S603" s="307">
        <f t="shared" ca="1" si="282"/>
        <v>2.9792999999999985</v>
      </c>
      <c r="T603" s="304">
        <f t="shared" ca="1" si="262"/>
        <v>29.226932999999988</v>
      </c>
      <c r="U603" s="311">
        <f t="shared" ca="1" si="263"/>
        <v>0</v>
      </c>
      <c r="V603" s="306">
        <f t="shared" ca="1" si="264"/>
        <v>1.2251922639619612</v>
      </c>
      <c r="W603" s="304">
        <f t="shared" ca="1" si="265"/>
        <v>27.446549144794893</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0.57295550124545969</v>
      </c>
      <c r="AH603" s="304">
        <f t="shared" ca="1" si="289"/>
        <v>-9.2123956767143458</v>
      </c>
    </row>
    <row r="604" spans="1:34" x14ac:dyDescent="0.2">
      <c r="A604" s="347">
        <f t="shared" ca="1" si="267"/>
        <v>1E-4</v>
      </c>
      <c r="B604" s="304">
        <f t="shared" ca="1" si="268"/>
        <v>37.009600000000539</v>
      </c>
      <c r="D604" s="306">
        <f t="shared" ca="1" si="269"/>
        <v>-0.65264204901415745</v>
      </c>
      <c r="E604" s="307">
        <f t="shared" ca="1" si="270"/>
        <v>-0.62073150304840219</v>
      </c>
      <c r="F604" s="304">
        <f t="shared" ca="1" si="271"/>
        <v>0.9006937565111276</v>
      </c>
      <c r="G604" s="306">
        <f t="shared" ca="1" si="272"/>
        <v>7.4097410527683891</v>
      </c>
      <c r="H604" s="307">
        <f t="shared" ca="1" si="273"/>
        <v>-104.33091213089534</v>
      </c>
      <c r="I604" s="304">
        <f t="shared" ca="1" si="274"/>
        <v>104.59370673483987</v>
      </c>
      <c r="J604" s="306">
        <f t="shared" ca="1" si="275"/>
        <v>839.7136314269211</v>
      </c>
      <c r="K604" s="307">
        <f t="shared" ca="1" si="276"/>
        <v>-1.5798116612836093</v>
      </c>
      <c r="L604" s="304">
        <f t="shared" ca="1" si="261"/>
        <v>839.71511753038737</v>
      </c>
      <c r="M604" s="306">
        <f t="shared" ca="1" si="277"/>
        <v>-1.499893848483244</v>
      </c>
      <c r="N604" s="304">
        <f t="shared" ca="1" si="278"/>
        <v>-85.93758723572445</v>
      </c>
      <c r="P604" s="310">
        <f t="shared" ca="1" si="279"/>
        <v>23</v>
      </c>
      <c r="Q604" s="304">
        <f t="shared" ca="1" si="280"/>
        <v>0</v>
      </c>
      <c r="R604" s="306">
        <f t="shared" ca="1" si="281"/>
        <v>0</v>
      </c>
      <c r="S604" s="307">
        <f t="shared" ca="1" si="282"/>
        <v>2.9792999999999985</v>
      </c>
      <c r="T604" s="304">
        <f t="shared" ca="1" si="262"/>
        <v>29.226932999999988</v>
      </c>
      <c r="U604" s="311">
        <f t="shared" ca="1" si="263"/>
        <v>0</v>
      </c>
      <c r="V604" s="306">
        <f t="shared" ca="1" si="264"/>
        <v>1.2251935422165197</v>
      </c>
      <c r="W604" s="304">
        <f t="shared" ca="1" si="265"/>
        <v>27.446607849070979</v>
      </c>
      <c r="Y604" s="314" t="str">
        <f t="shared" ca="1" si="283"/>
        <v/>
      </c>
      <c r="Z604" s="315" t="str">
        <f t="shared" ca="1" si="284"/>
        <v/>
      </c>
      <c r="AA604" s="316" t="str">
        <f t="shared" ca="1" si="285"/>
        <v/>
      </c>
      <c r="AC604" s="310" t="e">
        <f t="shared" ca="1" si="286"/>
        <v>#N/A</v>
      </c>
      <c r="AD604" s="323" t="e">
        <f t="shared" ca="1" si="287"/>
        <v>#N/A</v>
      </c>
      <c r="AE604" s="324" t="e">
        <f t="shared" ca="1" si="266"/>
        <v>#N/A</v>
      </c>
      <c r="AG604" s="306">
        <f t="shared" ca="1" si="288"/>
        <v>0.57293625868602938</v>
      </c>
      <c r="AH604" s="304">
        <f t="shared" ca="1" si="289"/>
        <v>-9.212415381060957</v>
      </c>
    </row>
    <row r="605" spans="1:34" x14ac:dyDescent="0.2">
      <c r="A605" s="347">
        <f t="shared" ca="1" si="267"/>
        <v>1E-4</v>
      </c>
      <c r="B605" s="304">
        <f t="shared" ca="1" si="268"/>
        <v>37.009700000000542</v>
      </c>
      <c r="D605" s="306">
        <f t="shared" ca="1" si="269"/>
        <v>-0.65263733906250887</v>
      </c>
      <c r="E605" s="307">
        <f t="shared" ca="1" si="270"/>
        <v>-0.62071141485674097</v>
      </c>
      <c r="F605" s="304">
        <f t="shared" ca="1" si="271"/>
        <v>0.90067649956688078</v>
      </c>
      <c r="G605" s="306">
        <f t="shared" ca="1" si="272"/>
        <v>7.4096757890344831</v>
      </c>
      <c r="H605" s="307">
        <f t="shared" ca="1" si="273"/>
        <v>-104.33097420203683</v>
      </c>
      <c r="I605" s="304">
        <f t="shared" ca="1" si="274"/>
        <v>104.59376402656459</v>
      </c>
      <c r="J605" s="306">
        <f t="shared" ca="1" si="275"/>
        <v>839.7136314269211</v>
      </c>
      <c r="K605" s="307">
        <f t="shared" ca="1" si="276"/>
        <v>-1.5902447556002559</v>
      </c>
      <c r="L605" s="304">
        <f t="shared" ca="1" si="261"/>
        <v>839.71513722367172</v>
      </c>
      <c r="M605" s="306">
        <f t="shared" ca="1" si="277"/>
        <v>-1.4998945129307746</v>
      </c>
      <c r="N605" s="304">
        <f t="shared" ca="1" si="278"/>
        <v>-85.93762530576366</v>
      </c>
      <c r="P605" s="310">
        <f t="shared" ca="1" si="279"/>
        <v>23</v>
      </c>
      <c r="Q605" s="304">
        <f t="shared" ca="1" si="280"/>
        <v>0</v>
      </c>
      <c r="R605" s="306">
        <f t="shared" ca="1" si="281"/>
        <v>0</v>
      </c>
      <c r="S605" s="307">
        <f t="shared" ca="1" si="282"/>
        <v>2.9792999999999985</v>
      </c>
      <c r="T605" s="304">
        <f t="shared" ca="1" si="262"/>
        <v>29.226932999999988</v>
      </c>
      <c r="U605" s="311">
        <f t="shared" ca="1" si="263"/>
        <v>0</v>
      </c>
      <c r="V605" s="306">
        <f t="shared" ca="1" si="264"/>
        <v>1.2251948204731729</v>
      </c>
      <c r="W605" s="304">
        <f t="shared" ca="1" si="265"/>
        <v>27.446666552463316</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0.572917016414344</v>
      </c>
      <c r="AH605" s="304">
        <f t="shared" ca="1" si="289"/>
        <v>-9.2124350851109291</v>
      </c>
    </row>
    <row r="606" spans="1:34" x14ac:dyDescent="0.2">
      <c r="A606" s="347">
        <f t="shared" ca="1" si="267"/>
        <v>1E-4</v>
      </c>
      <c r="B606" s="304">
        <f t="shared" ca="1" si="268"/>
        <v>37.009800000000546</v>
      </c>
      <c r="D606" s="306">
        <f t="shared" ca="1" si="269"/>
        <v>-0.65263262912390763</v>
      </c>
      <c r="E606" s="307">
        <f t="shared" ca="1" si="270"/>
        <v>-0.62069132696745832</v>
      </c>
      <c r="F606" s="304">
        <f t="shared" ca="1" si="271"/>
        <v>0.900659242982499</v>
      </c>
      <c r="G606" s="306">
        <f t="shared" ca="1" si="272"/>
        <v>7.409610525771571</v>
      </c>
      <c r="H606" s="307">
        <f t="shared" ca="1" si="273"/>
        <v>-104.33103627116952</v>
      </c>
      <c r="I606" s="304">
        <f t="shared" ca="1" si="274"/>
        <v>104.59382131636512</v>
      </c>
      <c r="J606" s="306">
        <f t="shared" ca="1" si="275"/>
        <v>839.7136314269211</v>
      </c>
      <c r="K606" s="307">
        <f t="shared" ca="1" si="276"/>
        <v>-1.6006778561239163</v>
      </c>
      <c r="L606" s="304">
        <f t="shared" ca="1" si="261"/>
        <v>839.71515704659407</v>
      </c>
      <c r="M606" s="306">
        <f t="shared" ca="1" si="277"/>
        <v>-1.4998951773717251</v>
      </c>
      <c r="N606" s="304">
        <f t="shared" ca="1" si="278"/>
        <v>-85.937663375425856</v>
      </c>
      <c r="P606" s="310">
        <f t="shared" ca="1" si="279"/>
        <v>23</v>
      </c>
      <c r="Q606" s="304">
        <f t="shared" ca="1" si="280"/>
        <v>0</v>
      </c>
      <c r="R606" s="306">
        <f t="shared" ca="1" si="281"/>
        <v>0</v>
      </c>
      <c r="S606" s="307">
        <f t="shared" ca="1" si="282"/>
        <v>2.9792999999999985</v>
      </c>
      <c r="T606" s="304">
        <f t="shared" ca="1" si="262"/>
        <v>29.226932999999988</v>
      </c>
      <c r="U606" s="311">
        <f t="shared" ca="1" si="263"/>
        <v>0</v>
      </c>
      <c r="V606" s="306">
        <f t="shared" ca="1" si="264"/>
        <v>1.2251960987319201</v>
      </c>
      <c r="W606" s="304">
        <f t="shared" ca="1" si="265"/>
        <v>27.446725254971923</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0.57289777443039469</v>
      </c>
      <c r="AH606" s="304">
        <f t="shared" ca="1" si="289"/>
        <v>-9.2124547888642727</v>
      </c>
    </row>
    <row r="607" spans="1:34" x14ac:dyDescent="0.2">
      <c r="A607" s="347">
        <f t="shared" ca="1" si="267"/>
        <v>1E-4</v>
      </c>
      <c r="B607" s="304">
        <f t="shared" ca="1" si="268"/>
        <v>37.009900000000549</v>
      </c>
      <c r="D607" s="306">
        <f t="shared" ca="1" si="269"/>
        <v>-0.65262791919835283</v>
      </c>
      <c r="E607" s="307">
        <f t="shared" ca="1" si="270"/>
        <v>-0.62067123938055246</v>
      </c>
      <c r="F607" s="304">
        <f t="shared" ca="1" si="271"/>
        <v>0.90064198675798079</v>
      </c>
      <c r="G607" s="306">
        <f t="shared" ca="1" si="272"/>
        <v>7.409545262979651</v>
      </c>
      <c r="H607" s="307">
        <f t="shared" ca="1" si="273"/>
        <v>-104.33109833829346</v>
      </c>
      <c r="I607" s="304">
        <f t="shared" ca="1" si="274"/>
        <v>104.59387860424148</v>
      </c>
      <c r="J607" s="306">
        <f t="shared" ca="1" si="275"/>
        <v>839.7136314269211</v>
      </c>
      <c r="K607" s="307">
        <f t="shared" ca="1" si="276"/>
        <v>-1.6111109628543894</v>
      </c>
      <c r="L607" s="304">
        <f t="shared" ca="1" si="261"/>
        <v>839.71517699915466</v>
      </c>
      <c r="M607" s="306">
        <f t="shared" ca="1" si="277"/>
        <v>-1.4998958418060953</v>
      </c>
      <c r="N607" s="304">
        <f t="shared" ca="1" si="278"/>
        <v>-85.937701444711038</v>
      </c>
      <c r="P607" s="310">
        <f t="shared" ca="1" si="279"/>
        <v>23</v>
      </c>
      <c r="Q607" s="304">
        <f t="shared" ca="1" si="280"/>
        <v>0</v>
      </c>
      <c r="R607" s="306">
        <f t="shared" ca="1" si="281"/>
        <v>0</v>
      </c>
      <c r="S607" s="307">
        <f t="shared" ca="1" si="282"/>
        <v>2.9792999999999985</v>
      </c>
      <c r="T607" s="304">
        <f t="shared" ca="1" si="262"/>
        <v>29.226932999999988</v>
      </c>
      <c r="U607" s="311">
        <f t="shared" ca="1" si="263"/>
        <v>0</v>
      </c>
      <c r="V607" s="306">
        <f t="shared" ca="1" si="264"/>
        <v>1.2251973769927615</v>
      </c>
      <c r="W607" s="304">
        <f t="shared" ca="1" si="265"/>
        <v>27.4467839565968</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0.57287853273417433</v>
      </c>
      <c r="AH607" s="304">
        <f t="shared" ca="1" si="289"/>
        <v>-9.2124744923209931</v>
      </c>
    </row>
    <row r="608" spans="1:34" x14ac:dyDescent="0.2">
      <c r="A608" s="347">
        <f t="shared" ca="1" si="267"/>
        <v>1E-4</v>
      </c>
      <c r="B608" s="304">
        <f t="shared" ca="1" si="268"/>
        <v>37.010000000000552</v>
      </c>
      <c r="D608" s="306">
        <f t="shared" ca="1" si="269"/>
        <v>-0.65262320928584761</v>
      </c>
      <c r="E608" s="307">
        <f t="shared" ca="1" si="270"/>
        <v>-0.62065115209601984</v>
      </c>
      <c r="F608" s="304">
        <f t="shared" ca="1" si="271"/>
        <v>0.90062473089332606</v>
      </c>
      <c r="G608" s="306">
        <f t="shared" ca="1" si="272"/>
        <v>7.4094800006587223</v>
      </c>
      <c r="H608" s="307">
        <f t="shared" ca="1" si="273"/>
        <v>-104.33116040340867</v>
      </c>
      <c r="I608" s="304">
        <f t="shared" ca="1" si="274"/>
        <v>104.59393589019371</v>
      </c>
      <c r="J608" s="306">
        <f t="shared" ca="1" si="275"/>
        <v>839.7136314269211</v>
      </c>
      <c r="K608" s="307">
        <f t="shared" ca="1" si="276"/>
        <v>-1.6215440757914745</v>
      </c>
      <c r="L608" s="304">
        <f t="shared" ca="1" si="261"/>
        <v>839.71519708135384</v>
      </c>
      <c r="M608" s="306">
        <f t="shared" ca="1" si="277"/>
        <v>-1.4998965062338854</v>
      </c>
      <c r="N608" s="304">
        <f t="shared" ca="1" si="278"/>
        <v>-85.937739513619206</v>
      </c>
      <c r="P608" s="310">
        <f t="shared" ca="1" si="279"/>
        <v>23</v>
      </c>
      <c r="Q608" s="304">
        <f t="shared" ca="1" si="280"/>
        <v>0</v>
      </c>
      <c r="R608" s="306">
        <f t="shared" ca="1" si="281"/>
        <v>0</v>
      </c>
      <c r="S608" s="307">
        <f t="shared" ca="1" si="282"/>
        <v>2.9792999999999985</v>
      </c>
      <c r="T608" s="304">
        <f t="shared" ca="1" si="262"/>
        <v>29.226932999999988</v>
      </c>
      <c r="U608" s="311">
        <f t="shared" ca="1" si="263"/>
        <v>0</v>
      </c>
      <c r="V608" s="306">
        <f t="shared" ca="1" si="264"/>
        <v>1.2251986552556973</v>
      </c>
      <c r="W608" s="304">
        <f t="shared" ca="1" si="265"/>
        <v>27.44684265733795</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0.57285929132568292</v>
      </c>
      <c r="AH608" s="304">
        <f t="shared" ca="1" si="289"/>
        <v>-9.2124941954810904</v>
      </c>
    </row>
    <row r="609" spans="1:34" x14ac:dyDescent="0.2">
      <c r="A609" s="347">
        <f t="shared" ca="1" si="267"/>
        <v>1E-4</v>
      </c>
      <c r="B609" s="304">
        <f t="shared" ca="1" si="268"/>
        <v>37.010100000000556</v>
      </c>
      <c r="D609" s="306">
        <f t="shared" ca="1" si="269"/>
        <v>-0.65261849938639083</v>
      </c>
      <c r="E609" s="307">
        <f t="shared" ca="1" si="270"/>
        <v>-0.62063106511386046</v>
      </c>
      <c r="F609" s="304">
        <f t="shared" ca="1" si="271"/>
        <v>0.90060747538853436</v>
      </c>
      <c r="G609" s="306">
        <f t="shared" ca="1" si="272"/>
        <v>7.4094147388087839</v>
      </c>
      <c r="H609" s="307">
        <f t="shared" ca="1" si="273"/>
        <v>-104.33122246651519</v>
      </c>
      <c r="I609" s="304">
        <f t="shared" ca="1" si="274"/>
        <v>104.59399317422181</v>
      </c>
      <c r="J609" s="306">
        <f t="shared" ca="1" si="275"/>
        <v>839.7136314269211</v>
      </c>
      <c r="K609" s="307">
        <f t="shared" ca="1" si="276"/>
        <v>-1.6319771949349706</v>
      </c>
      <c r="L609" s="304">
        <f t="shared" ca="1" si="261"/>
        <v>839.71521729319159</v>
      </c>
      <c r="M609" s="306">
        <f t="shared" ca="1" si="277"/>
        <v>-1.4998971706550956</v>
      </c>
      <c r="N609" s="304">
        <f t="shared" ca="1" si="278"/>
        <v>-85.937777582150375</v>
      </c>
      <c r="P609" s="310">
        <f t="shared" ca="1" si="279"/>
        <v>23</v>
      </c>
      <c r="Q609" s="304">
        <f t="shared" ca="1" si="280"/>
        <v>0</v>
      </c>
      <c r="R609" s="306">
        <f t="shared" ca="1" si="281"/>
        <v>0</v>
      </c>
      <c r="S609" s="307">
        <f t="shared" ca="1" si="282"/>
        <v>2.9792999999999985</v>
      </c>
      <c r="T609" s="304">
        <f t="shared" ca="1" si="262"/>
        <v>29.226932999999988</v>
      </c>
      <c r="U609" s="311">
        <f t="shared" ca="1" si="263"/>
        <v>0</v>
      </c>
      <c r="V609" s="306">
        <f t="shared" ca="1" si="264"/>
        <v>1.2251999335207269</v>
      </c>
      <c r="W609" s="304">
        <f t="shared" ca="1" si="265"/>
        <v>27.446901357195369</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0.57284005020492579</v>
      </c>
      <c r="AH609" s="304">
        <f t="shared" ca="1" si="289"/>
        <v>-9.2125138983445645</v>
      </c>
    </row>
    <row r="610" spans="1:34" x14ac:dyDescent="0.2">
      <c r="A610" s="347">
        <f t="shared" ca="1" si="267"/>
        <v>1E-4</v>
      </c>
      <c r="B610" s="304">
        <f t="shared" ca="1" si="268"/>
        <v>37.010200000000559</v>
      </c>
      <c r="D610" s="306">
        <f t="shared" ca="1" si="269"/>
        <v>-0.65261378949998183</v>
      </c>
      <c r="E610" s="307">
        <f t="shared" ca="1" si="270"/>
        <v>-0.62061097843407431</v>
      </c>
      <c r="F610" s="304">
        <f t="shared" ca="1" si="271"/>
        <v>0.90059022024360535</v>
      </c>
      <c r="G610" s="306">
        <f t="shared" ca="1" si="272"/>
        <v>7.4093494774298341</v>
      </c>
      <c r="H610" s="307">
        <f t="shared" ca="1" si="273"/>
        <v>-104.33128452761304</v>
      </c>
      <c r="I610" s="304">
        <f t="shared" ca="1" si="274"/>
        <v>104.59405045632586</v>
      </c>
      <c r="J610" s="306">
        <f t="shared" ca="1" si="275"/>
        <v>839.7136314269211</v>
      </c>
      <c r="K610" s="307">
        <f t="shared" ca="1" si="276"/>
        <v>-1.6424103202846769</v>
      </c>
      <c r="L610" s="304">
        <f t="shared" ca="1" si="261"/>
        <v>839.71523763466814</v>
      </c>
      <c r="M610" s="306">
        <f t="shared" ca="1" si="277"/>
        <v>-1.4998978350697258</v>
      </c>
      <c r="N610" s="304">
        <f t="shared" ca="1" si="278"/>
        <v>-85.937815650304529</v>
      </c>
      <c r="P610" s="310">
        <f t="shared" ca="1" si="279"/>
        <v>23</v>
      </c>
      <c r="Q610" s="304">
        <f t="shared" ca="1" si="280"/>
        <v>0</v>
      </c>
      <c r="R610" s="306">
        <f t="shared" ca="1" si="281"/>
        <v>0</v>
      </c>
      <c r="S610" s="307">
        <f t="shared" ca="1" si="282"/>
        <v>2.9792999999999985</v>
      </c>
      <c r="T610" s="304">
        <f t="shared" ca="1" si="262"/>
        <v>29.226932999999988</v>
      </c>
      <c r="U610" s="311">
        <f t="shared" ca="1" si="263"/>
        <v>0</v>
      </c>
      <c r="V610" s="306">
        <f t="shared" ca="1" si="264"/>
        <v>1.2252012117878508</v>
      </c>
      <c r="W610" s="304">
        <f t="shared" ca="1" si="265"/>
        <v>27.446960056169122</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0.57282080937189406</v>
      </c>
      <c r="AH610" s="304">
        <f t="shared" ca="1" si="289"/>
        <v>-9.2125336009114172</v>
      </c>
    </row>
    <row r="611" spans="1:34" x14ac:dyDescent="0.2">
      <c r="A611" s="347">
        <f t="shared" ca="1" si="267"/>
        <v>1E-4</v>
      </c>
      <c r="B611" s="304">
        <f t="shared" ca="1" si="268"/>
        <v>37.010300000000562</v>
      </c>
      <c r="D611" s="306">
        <f t="shared" ca="1" si="269"/>
        <v>-0.65260907962662451</v>
      </c>
      <c r="E611" s="307">
        <f t="shared" ca="1" si="270"/>
        <v>-0.62059089205664542</v>
      </c>
      <c r="F611" s="304">
        <f t="shared" ca="1" si="271"/>
        <v>0.90057296545853116</v>
      </c>
      <c r="G611" s="306">
        <f t="shared" ca="1" si="272"/>
        <v>7.4092842165218711</v>
      </c>
      <c r="H611" s="307">
        <f t="shared" ca="1" si="273"/>
        <v>-104.33134658670224</v>
      </c>
      <c r="I611" s="304">
        <f t="shared" ca="1" si="274"/>
        <v>104.5941077365058</v>
      </c>
      <c r="J611" s="306">
        <f t="shared" ca="1" si="275"/>
        <v>839.7136314269211</v>
      </c>
      <c r="K611" s="307">
        <f t="shared" ca="1" si="276"/>
        <v>-1.6528434518403927</v>
      </c>
      <c r="L611" s="304">
        <f t="shared" ca="1" si="261"/>
        <v>839.71525810578396</v>
      </c>
      <c r="M611" s="306">
        <f t="shared" ca="1" si="277"/>
        <v>-1.4998984994777762</v>
      </c>
      <c r="N611" s="304">
        <f t="shared" ca="1" si="278"/>
        <v>-85.937853718081683</v>
      </c>
      <c r="P611" s="310">
        <f t="shared" ca="1" si="279"/>
        <v>23</v>
      </c>
      <c r="Q611" s="304">
        <f t="shared" ca="1" si="280"/>
        <v>0</v>
      </c>
      <c r="R611" s="306">
        <f t="shared" ca="1" si="281"/>
        <v>0</v>
      </c>
      <c r="S611" s="307">
        <f t="shared" ca="1" si="282"/>
        <v>2.9792999999999985</v>
      </c>
      <c r="T611" s="304">
        <f t="shared" ca="1" si="262"/>
        <v>29.226932999999988</v>
      </c>
      <c r="U611" s="311">
        <f t="shared" ca="1" si="263"/>
        <v>0</v>
      </c>
      <c r="V611" s="306">
        <f t="shared" ca="1" si="264"/>
        <v>1.2252024900570688</v>
      </c>
      <c r="W611" s="304">
        <f t="shared" ca="1" si="265"/>
        <v>27.447018754259147</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0.57280156882657707</v>
      </c>
      <c r="AH611" s="304">
        <f t="shared" ca="1" si="289"/>
        <v>-9.2125533031816644</v>
      </c>
    </row>
    <row r="612" spans="1:34" x14ac:dyDescent="0.2">
      <c r="A612" s="347">
        <f t="shared" ca="1" si="267"/>
        <v>1E-4</v>
      </c>
      <c r="B612" s="304">
        <f t="shared" ca="1" si="268"/>
        <v>37.010400000000566</v>
      </c>
      <c r="D612" s="306">
        <f t="shared" ca="1" si="269"/>
        <v>-0.65260436976631686</v>
      </c>
      <c r="E612" s="307">
        <f t="shared" ca="1" si="270"/>
        <v>-0.6205708059815862</v>
      </c>
      <c r="F612" s="304">
        <f t="shared" ca="1" si="271"/>
        <v>0.90055571103331922</v>
      </c>
      <c r="G612" s="306">
        <f t="shared" ca="1" si="272"/>
        <v>7.4092189560848949</v>
      </c>
      <c r="H612" s="307">
        <f t="shared" ca="1" si="273"/>
        <v>-104.33140864378284</v>
      </c>
      <c r="I612" s="304">
        <f t="shared" ca="1" si="274"/>
        <v>104.59416501476176</v>
      </c>
      <c r="J612" s="306">
        <f t="shared" ca="1" si="275"/>
        <v>839.7136314269211</v>
      </c>
      <c r="K612" s="307">
        <f t="shared" ca="1" si="276"/>
        <v>-1.663276589601917</v>
      </c>
      <c r="L612" s="304">
        <f t="shared" ca="1" si="261"/>
        <v>839.71527870653915</v>
      </c>
      <c r="M612" s="306">
        <f t="shared" ca="1" si="277"/>
        <v>-1.4998991638792469</v>
      </c>
      <c r="N612" s="304">
        <f t="shared" ca="1" si="278"/>
        <v>-85.937891785481867</v>
      </c>
      <c r="P612" s="310">
        <f t="shared" ca="1" si="279"/>
        <v>23</v>
      </c>
      <c r="Q612" s="304">
        <f t="shared" ca="1" si="280"/>
        <v>0</v>
      </c>
      <c r="R612" s="306">
        <f t="shared" ca="1" si="281"/>
        <v>0</v>
      </c>
      <c r="S612" s="307">
        <f t="shared" ca="1" si="282"/>
        <v>2.9792999999999985</v>
      </c>
      <c r="T612" s="304">
        <f t="shared" ca="1" si="262"/>
        <v>29.226932999999988</v>
      </c>
      <c r="U612" s="311">
        <f t="shared" ca="1" si="263"/>
        <v>0</v>
      </c>
      <c r="V612" s="306">
        <f t="shared" ca="1" si="264"/>
        <v>1.225203768328381</v>
      </c>
      <c r="W612" s="304">
        <f t="shared" ca="1" si="265"/>
        <v>27.44707745146551</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0.57278232856898725</v>
      </c>
      <c r="AH612" s="304">
        <f t="shared" ca="1" si="289"/>
        <v>-9.2125730051552921</v>
      </c>
    </row>
    <row r="613" spans="1:34" x14ac:dyDescent="0.2">
      <c r="A613" s="347">
        <f t="shared" ca="1" si="267"/>
        <v>1E-4</v>
      </c>
      <c r="B613" s="304">
        <f t="shared" ca="1" si="268"/>
        <v>37.010500000000569</v>
      </c>
      <c r="D613" s="306">
        <f t="shared" ca="1" si="269"/>
        <v>-0.65259965991905911</v>
      </c>
      <c r="E613" s="307">
        <f t="shared" ca="1" si="270"/>
        <v>-0.62055072020887891</v>
      </c>
      <c r="F613" s="304">
        <f t="shared" ca="1" si="271"/>
        <v>0.90053845696795753</v>
      </c>
      <c r="G613" s="306">
        <f t="shared" ca="1" si="272"/>
        <v>7.4091536961189028</v>
      </c>
      <c r="H613" s="307">
        <f t="shared" ca="1" si="273"/>
        <v>-104.33147069885486</v>
      </c>
      <c r="I613" s="304">
        <f t="shared" ca="1" si="274"/>
        <v>104.5942222910937</v>
      </c>
      <c r="J613" s="306">
        <f t="shared" ca="1" si="275"/>
        <v>839.7136314269211</v>
      </c>
      <c r="K613" s="307">
        <f t="shared" ca="1" si="276"/>
        <v>-1.673709733569049</v>
      </c>
      <c r="L613" s="304">
        <f t="shared" ca="1" si="261"/>
        <v>839.71529943693383</v>
      </c>
      <c r="M613" s="306">
        <f t="shared" ca="1" si="277"/>
        <v>-1.499899828274138</v>
      </c>
      <c r="N613" s="304">
        <f t="shared" ca="1" si="278"/>
        <v>-85.93792985250505</v>
      </c>
      <c r="P613" s="310">
        <f t="shared" ca="1" si="279"/>
        <v>23</v>
      </c>
      <c r="Q613" s="304">
        <f t="shared" ca="1" si="280"/>
        <v>0</v>
      </c>
      <c r="R613" s="306">
        <f t="shared" ca="1" si="281"/>
        <v>0</v>
      </c>
      <c r="S613" s="307">
        <f t="shared" ca="1" si="282"/>
        <v>2.9792999999999985</v>
      </c>
      <c r="T613" s="304">
        <f t="shared" ca="1" si="262"/>
        <v>29.226932999999988</v>
      </c>
      <c r="U613" s="311">
        <f t="shared" ca="1" si="263"/>
        <v>0</v>
      </c>
      <c r="V613" s="306">
        <f t="shared" ca="1" si="264"/>
        <v>1.2252050466017868</v>
      </c>
      <c r="W613" s="304">
        <f t="shared" ca="1" si="265"/>
        <v>27.447136147788189</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0.57276308859910685</v>
      </c>
      <c r="AH613" s="304">
        <f t="shared" ca="1" si="289"/>
        <v>-9.2125927068323179</v>
      </c>
    </row>
    <row r="614" spans="1:34" x14ac:dyDescent="0.2">
      <c r="A614" s="347">
        <f t="shared" ca="1" si="267"/>
        <v>1E-4</v>
      </c>
      <c r="B614" s="304">
        <f t="shared" ca="1" si="268"/>
        <v>37.010600000000572</v>
      </c>
      <c r="D614" s="306">
        <f t="shared" ca="1" si="269"/>
        <v>-0.65259495008485191</v>
      </c>
      <c r="E614" s="307">
        <f t="shared" ca="1" si="270"/>
        <v>-0.6205306347385342</v>
      </c>
      <c r="F614" s="304">
        <f t="shared" ca="1" si="271"/>
        <v>0.90052120326245433</v>
      </c>
      <c r="G614" s="306">
        <f t="shared" ca="1" si="272"/>
        <v>7.409088436623894</v>
      </c>
      <c r="H614" s="307">
        <f t="shared" ca="1" si="273"/>
        <v>-104.33153275191833</v>
      </c>
      <c r="I614" s="304">
        <f t="shared" ca="1" si="274"/>
        <v>104.59427956550168</v>
      </c>
      <c r="J614" s="306">
        <f t="shared" ca="1" si="275"/>
        <v>839.7136314269211</v>
      </c>
      <c r="K614" s="307">
        <f t="shared" ca="1" si="276"/>
        <v>-1.6841428837415877</v>
      </c>
      <c r="L614" s="304">
        <f t="shared" ca="1" si="261"/>
        <v>839.71532029696823</v>
      </c>
      <c r="M614" s="306">
        <f t="shared" ca="1" si="277"/>
        <v>-1.4999004926624495</v>
      </c>
      <c r="N614" s="304">
        <f t="shared" ca="1" si="278"/>
        <v>-85.937967919151262</v>
      </c>
      <c r="P614" s="310">
        <f t="shared" ca="1" si="279"/>
        <v>23</v>
      </c>
      <c r="Q614" s="304">
        <f t="shared" ca="1" si="280"/>
        <v>0</v>
      </c>
      <c r="R614" s="306">
        <f t="shared" ca="1" si="281"/>
        <v>0</v>
      </c>
      <c r="S614" s="307">
        <f t="shared" ca="1" si="282"/>
        <v>2.9792999999999985</v>
      </c>
      <c r="T614" s="304">
        <f t="shared" ca="1" si="262"/>
        <v>29.226932999999988</v>
      </c>
      <c r="U614" s="311">
        <f t="shared" ca="1" si="263"/>
        <v>0</v>
      </c>
      <c r="V614" s="306">
        <f t="shared" ca="1" si="264"/>
        <v>1.2252063248772873</v>
      </c>
      <c r="W614" s="304">
        <f t="shared" ca="1" si="265"/>
        <v>27.447194843227216</v>
      </c>
      <c r="Y614" s="314" t="str">
        <f t="shared" ca="1" si="283"/>
        <v/>
      </c>
      <c r="Z614" s="315" t="str">
        <f t="shared" ca="1" si="284"/>
        <v/>
      </c>
      <c r="AA614" s="316" t="str">
        <f t="shared" ca="1" si="285"/>
        <v/>
      </c>
      <c r="AC614" s="310" t="e">
        <f t="shared" ca="1" si="286"/>
        <v>#N/A</v>
      </c>
      <c r="AD614" s="323" t="e">
        <f t="shared" ca="1" si="287"/>
        <v>#N/A</v>
      </c>
      <c r="AE614" s="324" t="e">
        <f t="shared" ca="1" si="266"/>
        <v>#N/A</v>
      </c>
      <c r="AG614" s="306">
        <f t="shared" ca="1" si="288"/>
        <v>0.57274384891694474</v>
      </c>
      <c r="AH614" s="304">
        <f t="shared" ca="1" si="289"/>
        <v>-9.2126124082127347</v>
      </c>
    </row>
    <row r="615" spans="1:34" x14ac:dyDescent="0.2">
      <c r="A615" s="347">
        <f t="shared" ca="1" si="267"/>
        <v>1E-4</v>
      </c>
      <c r="B615" s="304">
        <f t="shared" ca="1" si="268"/>
        <v>37.010700000000575</v>
      </c>
      <c r="D615" s="306">
        <f t="shared" ca="1" si="269"/>
        <v>-0.65259024026369705</v>
      </c>
      <c r="E615" s="307">
        <f t="shared" ca="1" si="270"/>
        <v>-0.62051054957053253</v>
      </c>
      <c r="F615" s="304">
        <f t="shared" ca="1" si="271"/>
        <v>0.9005039499167975</v>
      </c>
      <c r="G615" s="306">
        <f t="shared" ca="1" si="272"/>
        <v>7.4090231775998676</v>
      </c>
      <c r="H615" s="307">
        <f t="shared" ca="1" si="273"/>
        <v>-104.33159480297329</v>
      </c>
      <c r="I615" s="304">
        <f t="shared" ca="1" si="274"/>
        <v>104.59433683798572</v>
      </c>
      <c r="J615" s="306">
        <f t="shared" ca="1" si="275"/>
        <v>839.7136314269211</v>
      </c>
      <c r="K615" s="307">
        <f t="shared" ca="1" si="276"/>
        <v>-1.6945760401193324</v>
      </c>
      <c r="L615" s="304">
        <f t="shared" ca="1" si="261"/>
        <v>839.71534128664268</v>
      </c>
      <c r="M615" s="306">
        <f t="shared" ca="1" si="277"/>
        <v>-1.4999011570441814</v>
      </c>
      <c r="N615" s="304">
        <f t="shared" ca="1" si="278"/>
        <v>-85.938005985420475</v>
      </c>
      <c r="P615" s="310">
        <f t="shared" ca="1" si="279"/>
        <v>23</v>
      </c>
      <c r="Q615" s="304">
        <f t="shared" ca="1" si="280"/>
        <v>0</v>
      </c>
      <c r="R615" s="306">
        <f t="shared" ca="1" si="281"/>
        <v>0</v>
      </c>
      <c r="S615" s="307">
        <f t="shared" ca="1" si="282"/>
        <v>2.9792999999999985</v>
      </c>
      <c r="T615" s="304">
        <f t="shared" ca="1" si="262"/>
        <v>29.226932999999988</v>
      </c>
      <c r="U615" s="311">
        <f t="shared" ca="1" si="263"/>
        <v>0</v>
      </c>
      <c r="V615" s="306">
        <f t="shared" ca="1" si="264"/>
        <v>1.2252076031548811</v>
      </c>
      <c r="W615" s="304">
        <f t="shared" ca="1" si="265"/>
        <v>27.447253537782579</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0.57272460952248494</v>
      </c>
      <c r="AH615" s="304">
        <f t="shared" ca="1" si="289"/>
        <v>-9.2126321092965568</v>
      </c>
    </row>
    <row r="616" spans="1:34" x14ac:dyDescent="0.2">
      <c r="A616" s="347">
        <f t="shared" ca="1" si="267"/>
        <v>1E-4</v>
      </c>
      <c r="B616" s="304">
        <f t="shared" ca="1" si="268"/>
        <v>37.010800000000579</v>
      </c>
      <c r="D616" s="306">
        <f t="shared" ca="1" si="269"/>
        <v>-0.65258553045559475</v>
      </c>
      <c r="E616" s="307">
        <f t="shared" ca="1" si="270"/>
        <v>-0.62049046470488456</v>
      </c>
      <c r="F616" s="304">
        <f t="shared" ca="1" si="271"/>
        <v>0.90048669693099503</v>
      </c>
      <c r="G616" s="306">
        <f t="shared" ca="1" si="272"/>
        <v>7.4089579190468218</v>
      </c>
      <c r="H616" s="307">
        <f t="shared" ca="1" si="273"/>
        <v>-104.33165685201976</v>
      </c>
      <c r="I616" s="304">
        <f t="shared" ca="1" si="274"/>
        <v>104.59439410854584</v>
      </c>
      <c r="J616" s="306">
        <f t="shared" ca="1" si="275"/>
        <v>839.7136314269211</v>
      </c>
      <c r="K616" s="307">
        <f t="shared" ca="1" si="276"/>
        <v>-1.705009202702082</v>
      </c>
      <c r="L616" s="304">
        <f t="shared" ca="1" si="261"/>
        <v>839.71536240595742</v>
      </c>
      <c r="M616" s="306">
        <f t="shared" ca="1" si="277"/>
        <v>-1.4999018214193338</v>
      </c>
      <c r="N616" s="304">
        <f t="shared" ca="1" si="278"/>
        <v>-85.93804405131273</v>
      </c>
      <c r="P616" s="310">
        <f t="shared" ca="1" si="279"/>
        <v>23</v>
      </c>
      <c r="Q616" s="304">
        <f t="shared" ca="1" si="280"/>
        <v>0</v>
      </c>
      <c r="R616" s="306">
        <f t="shared" ca="1" si="281"/>
        <v>0</v>
      </c>
      <c r="S616" s="307">
        <f t="shared" ca="1" si="282"/>
        <v>2.9792999999999985</v>
      </c>
      <c r="T616" s="304">
        <f t="shared" ca="1" si="262"/>
        <v>29.226932999999988</v>
      </c>
      <c r="U616" s="311">
        <f t="shared" ca="1" si="263"/>
        <v>0</v>
      </c>
      <c r="V616" s="306">
        <f t="shared" ca="1" si="264"/>
        <v>1.2252088814345694</v>
      </c>
      <c r="W616" s="304">
        <f t="shared" ca="1" si="265"/>
        <v>27.447312231454305</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0.57270537041573633</v>
      </c>
      <c r="AH616" s="304">
        <f t="shared" ca="1" si="289"/>
        <v>-9.2126518100837753</v>
      </c>
    </row>
    <row r="617" spans="1:34" x14ac:dyDescent="0.2">
      <c r="A617" s="347">
        <f t="shared" ca="1" si="267"/>
        <v>1E-4</v>
      </c>
      <c r="B617" s="304">
        <f t="shared" ca="1" si="268"/>
        <v>37.010900000000582</v>
      </c>
      <c r="D617" s="306">
        <f t="shared" ca="1" si="269"/>
        <v>-0.65258082066054512</v>
      </c>
      <c r="E617" s="307">
        <f t="shared" ca="1" si="270"/>
        <v>-0.62047038014157962</v>
      </c>
      <c r="F617" s="304">
        <f t="shared" ca="1" si="271"/>
        <v>0.90046944430503961</v>
      </c>
      <c r="G617" s="306">
        <f t="shared" ca="1" si="272"/>
        <v>7.4088926609647556</v>
      </c>
      <c r="H617" s="307">
        <f t="shared" ca="1" si="273"/>
        <v>-104.33171889905778</v>
      </c>
      <c r="I617" s="304">
        <f t="shared" ca="1" si="274"/>
        <v>104.59445137718208</v>
      </c>
      <c r="J617" s="306">
        <f t="shared" ca="1" si="275"/>
        <v>839.7136314269211</v>
      </c>
      <c r="K617" s="307">
        <f t="shared" ca="1" si="276"/>
        <v>-1.7154423714896359</v>
      </c>
      <c r="L617" s="304">
        <f t="shared" ca="1" si="261"/>
        <v>839.71538365491256</v>
      </c>
      <c r="M617" s="306">
        <f t="shared" ca="1" si="277"/>
        <v>-1.4999024857879071</v>
      </c>
      <c r="N617" s="304">
        <f t="shared" ca="1" si="278"/>
        <v>-85.938082116828014</v>
      </c>
      <c r="P617" s="310">
        <f t="shared" ca="1" si="279"/>
        <v>23</v>
      </c>
      <c r="Q617" s="304">
        <f t="shared" ca="1" si="280"/>
        <v>0</v>
      </c>
      <c r="R617" s="306">
        <f t="shared" ca="1" si="281"/>
        <v>0</v>
      </c>
      <c r="S617" s="307">
        <f t="shared" ca="1" si="282"/>
        <v>2.9792999999999985</v>
      </c>
      <c r="T617" s="304">
        <f t="shared" ca="1" si="262"/>
        <v>29.226932999999988</v>
      </c>
      <c r="U617" s="311">
        <f t="shared" ca="1" si="263"/>
        <v>0</v>
      </c>
      <c r="V617" s="306">
        <f t="shared" ca="1" si="264"/>
        <v>1.2252101597163516</v>
      </c>
      <c r="W617" s="304">
        <f t="shared" ca="1" si="265"/>
        <v>27.447370924242396</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0.57268613159668824</v>
      </c>
      <c r="AH617" s="304">
        <f t="shared" ca="1" si="289"/>
        <v>-9.2126715105744026</v>
      </c>
    </row>
    <row r="618" spans="1:34" x14ac:dyDescent="0.2">
      <c r="A618" s="347">
        <f t="shared" ca="1" si="267"/>
        <v>1E-4</v>
      </c>
      <c r="B618" s="304">
        <f t="shared" ca="1" si="268"/>
        <v>37.011000000000585</v>
      </c>
      <c r="D618" s="306">
        <f t="shared" ca="1" si="269"/>
        <v>-0.65257611087854694</v>
      </c>
      <c r="E618" s="307">
        <f t="shared" ca="1" si="270"/>
        <v>-0.62045029588061595</v>
      </c>
      <c r="F618" s="304">
        <f t="shared" ca="1" si="271"/>
        <v>0.90045219203892968</v>
      </c>
      <c r="G618" s="306">
        <f t="shared" ca="1" si="272"/>
        <v>7.4088274033536674</v>
      </c>
      <c r="H618" s="307">
        <f t="shared" ca="1" si="273"/>
        <v>-104.33178094408737</v>
      </c>
      <c r="I618" s="304">
        <f t="shared" ca="1" si="274"/>
        <v>104.59450864389449</v>
      </c>
      <c r="J618" s="306">
        <f t="shared" ca="1" si="275"/>
        <v>839.7136314269211</v>
      </c>
      <c r="K618" s="307">
        <f t="shared" ca="1" si="276"/>
        <v>-1.7258755464817932</v>
      </c>
      <c r="L618" s="304">
        <f t="shared" ca="1" si="261"/>
        <v>839.71540503350832</v>
      </c>
      <c r="M618" s="306">
        <f t="shared" ca="1" si="277"/>
        <v>-1.4999031501499009</v>
      </c>
      <c r="N618" s="304">
        <f t="shared" ca="1" si="278"/>
        <v>-85.93812018196634</v>
      </c>
      <c r="P618" s="310">
        <f t="shared" ca="1" si="279"/>
        <v>23</v>
      </c>
      <c r="Q618" s="304">
        <f t="shared" ca="1" si="280"/>
        <v>0</v>
      </c>
      <c r="R618" s="306">
        <f t="shared" ca="1" si="281"/>
        <v>0</v>
      </c>
      <c r="S618" s="307">
        <f t="shared" ca="1" si="282"/>
        <v>2.9792999999999985</v>
      </c>
      <c r="T618" s="304">
        <f t="shared" ca="1" si="262"/>
        <v>29.226932999999988</v>
      </c>
      <c r="U618" s="311">
        <f t="shared" ca="1" si="263"/>
        <v>0</v>
      </c>
      <c r="V618" s="306">
        <f t="shared" ca="1" si="264"/>
        <v>1.2252114380002279</v>
      </c>
      <c r="W618" s="304">
        <f t="shared" ca="1" si="265"/>
        <v>27.447429616146874</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0.57266689306534069</v>
      </c>
      <c r="AH618" s="304">
        <f t="shared" ca="1" si="289"/>
        <v>-9.2126912107684387</v>
      </c>
    </row>
    <row r="619" spans="1:34" x14ac:dyDescent="0.2">
      <c r="A619" s="347">
        <f t="shared" ca="1" si="267"/>
        <v>1E-4</v>
      </c>
      <c r="B619" s="304">
        <f t="shared" ca="1" si="268"/>
        <v>37.011100000000589</v>
      </c>
      <c r="D619" s="306">
        <f t="shared" ca="1" si="269"/>
        <v>-0.65257140110960399</v>
      </c>
      <c r="E619" s="307">
        <f t="shared" ca="1" si="270"/>
        <v>-0.62043021192198644</v>
      </c>
      <c r="F619" s="304">
        <f t="shared" ca="1" si="271"/>
        <v>0.90043494013266323</v>
      </c>
      <c r="G619" s="306">
        <f t="shared" ca="1" si="272"/>
        <v>7.4087621462135562</v>
      </c>
      <c r="H619" s="307">
        <f t="shared" ca="1" si="273"/>
        <v>-104.33184298710856</v>
      </c>
      <c r="I619" s="304">
        <f t="shared" ca="1" si="274"/>
        <v>104.59456590868304</v>
      </c>
      <c r="J619" s="306">
        <f t="shared" ca="1" si="275"/>
        <v>839.7136314269211</v>
      </c>
      <c r="K619" s="307">
        <f t="shared" ca="1" si="276"/>
        <v>-1.7363087276783531</v>
      </c>
      <c r="L619" s="304">
        <f t="shared" ca="1" si="261"/>
        <v>839.71542654174505</v>
      </c>
      <c r="M619" s="306">
        <f t="shared" ca="1" si="277"/>
        <v>-1.4999038145053156</v>
      </c>
      <c r="N619" s="304">
        <f t="shared" ca="1" si="278"/>
        <v>-85.938158246727696</v>
      </c>
      <c r="P619" s="310">
        <f t="shared" ca="1" si="279"/>
        <v>23</v>
      </c>
      <c r="Q619" s="304">
        <f t="shared" ca="1" si="280"/>
        <v>0</v>
      </c>
      <c r="R619" s="306">
        <f t="shared" ca="1" si="281"/>
        <v>0</v>
      </c>
      <c r="S619" s="307">
        <f t="shared" ca="1" si="282"/>
        <v>2.9792999999999985</v>
      </c>
      <c r="T619" s="304">
        <f t="shared" ca="1" si="262"/>
        <v>29.226932999999988</v>
      </c>
      <c r="U619" s="311">
        <f t="shared" ca="1" si="263"/>
        <v>0</v>
      </c>
      <c r="V619" s="306">
        <f t="shared" ca="1" si="264"/>
        <v>1.2252127162861981</v>
      </c>
      <c r="W619" s="304">
        <f t="shared" ca="1" si="265"/>
        <v>27.447488307167724</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0.57264765482168656</v>
      </c>
      <c r="AH619" s="304">
        <f t="shared" ca="1" si="289"/>
        <v>-9.2127109106658907</v>
      </c>
    </row>
    <row r="620" spans="1:34" x14ac:dyDescent="0.2">
      <c r="A620" s="347">
        <f t="shared" ca="1" si="267"/>
        <v>1E-4</v>
      </c>
      <c r="B620" s="304">
        <f t="shared" ca="1" si="268"/>
        <v>37.011200000000592</v>
      </c>
      <c r="D620" s="306">
        <f t="shared" ca="1" si="269"/>
        <v>-0.65256669135371459</v>
      </c>
      <c r="E620" s="307">
        <f t="shared" ca="1" si="270"/>
        <v>-0.62041012826569641</v>
      </c>
      <c r="F620" s="304">
        <f t="shared" ca="1" si="271"/>
        <v>0.90041768858624283</v>
      </c>
      <c r="G620" s="306">
        <f t="shared" ca="1" si="272"/>
        <v>7.4086968895444212</v>
      </c>
      <c r="H620" s="307">
        <f t="shared" ca="1" si="273"/>
        <v>-104.33190502812138</v>
      </c>
      <c r="I620" s="304">
        <f t="shared" ca="1" si="274"/>
        <v>104.59462317154781</v>
      </c>
      <c r="J620" s="306">
        <f t="shared" ca="1" si="275"/>
        <v>839.7136314269211</v>
      </c>
      <c r="K620" s="307">
        <f t="shared" ca="1" si="276"/>
        <v>-1.7467419150791146</v>
      </c>
      <c r="L620" s="304">
        <f t="shared" ca="1" si="261"/>
        <v>839.71544817962297</v>
      </c>
      <c r="M620" s="306">
        <f t="shared" ca="1" si="277"/>
        <v>-1.4999044788541513</v>
      </c>
      <c r="N620" s="304">
        <f t="shared" ca="1" si="278"/>
        <v>-85.938196311112108</v>
      </c>
      <c r="P620" s="310">
        <f t="shared" ca="1" si="279"/>
        <v>23</v>
      </c>
      <c r="Q620" s="304">
        <f t="shared" ca="1" si="280"/>
        <v>0</v>
      </c>
      <c r="R620" s="306">
        <f t="shared" ca="1" si="281"/>
        <v>0</v>
      </c>
      <c r="S620" s="307">
        <f t="shared" ca="1" si="282"/>
        <v>2.9792999999999985</v>
      </c>
      <c r="T620" s="304">
        <f t="shared" ca="1" si="262"/>
        <v>29.226932999999988</v>
      </c>
      <c r="U620" s="311">
        <f t="shared" ca="1" si="263"/>
        <v>0</v>
      </c>
      <c r="V620" s="306">
        <f t="shared" ca="1" si="264"/>
        <v>1.2252139945742617</v>
      </c>
      <c r="W620" s="304">
        <f t="shared" ca="1" si="265"/>
        <v>27.447546997304983</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0.57262841686573118</v>
      </c>
      <c r="AH620" s="304">
        <f t="shared" ca="1" si="289"/>
        <v>-9.2127306102667532</v>
      </c>
    </row>
    <row r="621" spans="1:34" x14ac:dyDescent="0.2">
      <c r="A621" s="347">
        <f t="shared" ca="1" si="267"/>
        <v>1E-4</v>
      </c>
      <c r="B621" s="304">
        <f t="shared" ca="1" si="268"/>
        <v>37.011300000000595</v>
      </c>
      <c r="D621" s="306">
        <f t="shared" ca="1" si="269"/>
        <v>-0.65256198161087853</v>
      </c>
      <c r="E621" s="307">
        <f t="shared" ca="1" si="270"/>
        <v>-0.62039004491173522</v>
      </c>
      <c r="F621" s="304">
        <f t="shared" ca="1" si="271"/>
        <v>0.90040043739966136</v>
      </c>
      <c r="G621" s="306">
        <f t="shared" ca="1" si="272"/>
        <v>7.4086316333462605</v>
      </c>
      <c r="H621" s="307">
        <f t="shared" ca="1" si="273"/>
        <v>-104.33196706712587</v>
      </c>
      <c r="I621" s="304">
        <f t="shared" ca="1" si="274"/>
        <v>104.5946804324888</v>
      </c>
      <c r="J621" s="306">
        <f t="shared" ca="1" si="275"/>
        <v>839.7136314269211</v>
      </c>
      <c r="K621" s="307">
        <f t="shared" ca="1" si="276"/>
        <v>-1.7571751086838769</v>
      </c>
      <c r="L621" s="304">
        <f t="shared" ca="1" si="261"/>
        <v>839.71546994714208</v>
      </c>
      <c r="M621" s="306">
        <f t="shared" ca="1" si="277"/>
        <v>-1.4999051431964079</v>
      </c>
      <c r="N621" s="304">
        <f t="shared" ca="1" si="278"/>
        <v>-85.938234375119549</v>
      </c>
      <c r="P621" s="310">
        <f t="shared" ca="1" si="279"/>
        <v>23</v>
      </c>
      <c r="Q621" s="304">
        <f t="shared" ca="1" si="280"/>
        <v>0</v>
      </c>
      <c r="R621" s="306">
        <f t="shared" ca="1" si="281"/>
        <v>0</v>
      </c>
      <c r="S621" s="307">
        <f t="shared" ca="1" si="282"/>
        <v>2.9792999999999985</v>
      </c>
      <c r="T621" s="304">
        <f t="shared" ca="1" si="262"/>
        <v>29.226932999999988</v>
      </c>
      <c r="U621" s="311">
        <f t="shared" ca="1" si="263"/>
        <v>0</v>
      </c>
      <c r="V621" s="306">
        <f t="shared" ca="1" si="264"/>
        <v>1.2252152728644199</v>
      </c>
      <c r="W621" s="304">
        <f t="shared" ca="1" si="265"/>
        <v>27.447605686558635</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0.57260917919746035</v>
      </c>
      <c r="AH621" s="304">
        <f t="shared" ca="1" si="289"/>
        <v>-9.2127503095710388</v>
      </c>
    </row>
    <row r="622" spans="1:34" x14ac:dyDescent="0.2">
      <c r="A622" s="347">
        <f t="shared" ca="1" si="267"/>
        <v>1E-4</v>
      </c>
      <c r="B622" s="304">
        <f t="shared" ca="1" si="268"/>
        <v>37.011400000000599</v>
      </c>
      <c r="D622" s="306">
        <f t="shared" ca="1" si="269"/>
        <v>-0.65255727188109847</v>
      </c>
      <c r="E622" s="307">
        <f t="shared" ca="1" si="270"/>
        <v>-0.6203699618601064</v>
      </c>
      <c r="F622" s="304">
        <f t="shared" ca="1" si="271"/>
        <v>0.90038318657292338</v>
      </c>
      <c r="G622" s="306">
        <f t="shared" ca="1" si="272"/>
        <v>7.4085663776190724</v>
      </c>
      <c r="H622" s="307">
        <f t="shared" ca="1" si="273"/>
        <v>-104.33202910412206</v>
      </c>
      <c r="I622" s="304">
        <f t="shared" ca="1" si="274"/>
        <v>104.59473769150607</v>
      </c>
      <c r="J622" s="306">
        <f t="shared" ca="1" si="275"/>
        <v>839.7136314269211</v>
      </c>
      <c r="K622" s="307">
        <f t="shared" ca="1" si="276"/>
        <v>-1.7676083084924394</v>
      </c>
      <c r="L622" s="304">
        <f t="shared" ca="1" si="261"/>
        <v>839.71549184430285</v>
      </c>
      <c r="M622" s="306">
        <f t="shared" ca="1" si="277"/>
        <v>-1.4999058075320857</v>
      </c>
      <c r="N622" s="304">
        <f t="shared" ca="1" si="278"/>
        <v>-85.938272438750076</v>
      </c>
      <c r="P622" s="310">
        <f t="shared" ca="1" si="279"/>
        <v>23</v>
      </c>
      <c r="Q622" s="304">
        <f t="shared" ca="1" si="280"/>
        <v>0</v>
      </c>
      <c r="R622" s="306">
        <f t="shared" ca="1" si="281"/>
        <v>0</v>
      </c>
      <c r="S622" s="307">
        <f t="shared" ca="1" si="282"/>
        <v>2.9792999999999985</v>
      </c>
      <c r="T622" s="304">
        <f t="shared" ca="1" si="262"/>
        <v>29.226932999999988</v>
      </c>
      <c r="U622" s="311">
        <f t="shared" ca="1" si="263"/>
        <v>0</v>
      </c>
      <c r="V622" s="306">
        <f t="shared" ca="1" si="264"/>
        <v>1.2252165511566715</v>
      </c>
      <c r="W622" s="304">
        <f t="shared" ca="1" si="265"/>
        <v>27.447664374928721</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0.57258994181688294</v>
      </c>
      <c r="AH622" s="304">
        <f t="shared" ca="1" si="289"/>
        <v>-9.2127700085787421</v>
      </c>
    </row>
    <row r="623" spans="1:34" x14ac:dyDescent="0.2">
      <c r="A623" s="347">
        <f t="shared" ca="1" si="267"/>
        <v>1E-4</v>
      </c>
      <c r="B623" s="304">
        <f t="shared" ca="1" si="268"/>
        <v>37.011500000000602</v>
      </c>
      <c r="D623" s="306">
        <f t="shared" ca="1" si="269"/>
        <v>-0.65255256216437274</v>
      </c>
      <c r="E623" s="307">
        <f t="shared" ca="1" si="270"/>
        <v>-0.6203498791107922</v>
      </c>
      <c r="F623" s="304">
        <f t="shared" ca="1" si="271"/>
        <v>0.90036593610601579</v>
      </c>
      <c r="G623" s="306">
        <f t="shared" ca="1" si="272"/>
        <v>7.4085011223628561</v>
      </c>
      <c r="H623" s="307">
        <f t="shared" ca="1" si="273"/>
        <v>-104.33209113910996</v>
      </c>
      <c r="I623" s="304">
        <f t="shared" ca="1" si="274"/>
        <v>104.59479494859961</v>
      </c>
      <c r="J623" s="306">
        <f t="shared" ca="1" si="275"/>
        <v>839.7136314269211</v>
      </c>
      <c r="K623" s="307">
        <f t="shared" ca="1" si="276"/>
        <v>-1.7780415145046011</v>
      </c>
      <c r="L623" s="304">
        <f t="shared" ca="1" si="261"/>
        <v>839.71551387110526</v>
      </c>
      <c r="M623" s="306">
        <f t="shared" ca="1" si="277"/>
        <v>-1.4999064718611843</v>
      </c>
      <c r="N623" s="304">
        <f t="shared" ca="1" si="278"/>
        <v>-85.938310502003631</v>
      </c>
      <c r="P623" s="310">
        <f t="shared" ca="1" si="279"/>
        <v>23</v>
      </c>
      <c r="Q623" s="304">
        <f t="shared" ca="1" si="280"/>
        <v>0</v>
      </c>
      <c r="R623" s="306">
        <f t="shared" ca="1" si="281"/>
        <v>0</v>
      </c>
      <c r="S623" s="307">
        <f t="shared" ca="1" si="282"/>
        <v>2.9792999999999985</v>
      </c>
      <c r="T623" s="304">
        <f t="shared" ca="1" si="262"/>
        <v>29.226932999999988</v>
      </c>
      <c r="U623" s="311">
        <f t="shared" ca="1" si="263"/>
        <v>0</v>
      </c>
      <c r="V623" s="306">
        <f t="shared" ca="1" si="264"/>
        <v>1.2252178294510174</v>
      </c>
      <c r="W623" s="304">
        <f t="shared" ca="1" si="265"/>
        <v>27.447723062415225</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0.57257070472398119</v>
      </c>
      <c r="AH623" s="304">
        <f t="shared" ca="1" si="289"/>
        <v>-9.212789707289879</v>
      </c>
    </row>
    <row r="624" spans="1:34" x14ac:dyDescent="0.2">
      <c r="A624" s="347">
        <f t="shared" ca="1" si="267"/>
        <v>1E-4</v>
      </c>
      <c r="B624" s="304">
        <f t="shared" ca="1" si="268"/>
        <v>37.011600000000605</v>
      </c>
      <c r="D624" s="306">
        <f t="shared" ca="1" si="269"/>
        <v>-0.65254785246070557</v>
      </c>
      <c r="E624" s="307">
        <f t="shared" ca="1" si="270"/>
        <v>-0.62032979666380506</v>
      </c>
      <c r="F624" s="304">
        <f t="shared" ca="1" si="271"/>
        <v>0.90034868599895035</v>
      </c>
      <c r="G624" s="306">
        <f t="shared" ca="1" si="272"/>
        <v>7.4084358675776096</v>
      </c>
      <c r="H624" s="307">
        <f t="shared" ca="1" si="273"/>
        <v>-104.33215317208963</v>
      </c>
      <c r="I624" s="304">
        <f t="shared" ca="1" si="274"/>
        <v>104.59485220376949</v>
      </c>
      <c r="J624" s="306">
        <f t="shared" ca="1" si="275"/>
        <v>839.7136314269211</v>
      </c>
      <c r="K624" s="307">
        <f t="shared" ca="1" si="276"/>
        <v>-1.7884747267201611</v>
      </c>
      <c r="L624" s="304">
        <f t="shared" ca="1" si="261"/>
        <v>839.71553602754977</v>
      </c>
      <c r="M624" s="306">
        <f t="shared" ca="1" si="277"/>
        <v>-1.4999071361837044</v>
      </c>
      <c r="N624" s="304">
        <f t="shared" ca="1" si="278"/>
        <v>-85.938348564880272</v>
      </c>
      <c r="P624" s="310">
        <f t="shared" ca="1" si="279"/>
        <v>23</v>
      </c>
      <c r="Q624" s="304">
        <f t="shared" ca="1" si="280"/>
        <v>0</v>
      </c>
      <c r="R624" s="306">
        <f t="shared" ca="1" si="281"/>
        <v>0</v>
      </c>
      <c r="S624" s="307">
        <f t="shared" ca="1" si="282"/>
        <v>2.9792999999999985</v>
      </c>
      <c r="T624" s="304">
        <f t="shared" ca="1" si="262"/>
        <v>29.226932999999988</v>
      </c>
      <c r="U624" s="311">
        <f t="shared" ca="1" si="263"/>
        <v>0</v>
      </c>
      <c r="V624" s="306">
        <f t="shared" ca="1" si="264"/>
        <v>1.2252191077474568</v>
      </c>
      <c r="W624" s="304">
        <f t="shared" ca="1" si="265"/>
        <v>27.447781749018173</v>
      </c>
      <c r="Y624" s="314" t="str">
        <f t="shared" ca="1" si="283"/>
        <v/>
      </c>
      <c r="Z624" s="315" t="str">
        <f t="shared" ca="1" si="284"/>
        <v/>
      </c>
      <c r="AA624" s="316" t="str">
        <f t="shared" ca="1" si="285"/>
        <v/>
      </c>
      <c r="AC624" s="310" t="e">
        <f t="shared" ca="1" si="286"/>
        <v>#N/A</v>
      </c>
      <c r="AD624" s="323" t="e">
        <f t="shared" ca="1" si="287"/>
        <v>#N/A</v>
      </c>
      <c r="AE624" s="324" t="e">
        <f t="shared" ca="1" si="266"/>
        <v>#N/A</v>
      </c>
      <c r="AG624" s="306">
        <f t="shared" ca="1" si="288"/>
        <v>0.57255146791876577</v>
      </c>
      <c r="AH624" s="304">
        <f t="shared" ca="1" si="289"/>
        <v>-9.2128094057044407</v>
      </c>
    </row>
    <row r="625" spans="1:34" x14ac:dyDescent="0.2">
      <c r="A625" s="347">
        <f t="shared" ca="1" si="267"/>
        <v>1E-4</v>
      </c>
      <c r="B625" s="304">
        <f t="shared" ca="1" si="268"/>
        <v>37.011700000000609</v>
      </c>
      <c r="D625" s="306">
        <f t="shared" ca="1" si="269"/>
        <v>-0.65254314277009229</v>
      </c>
      <c r="E625" s="307">
        <f t="shared" ca="1" si="270"/>
        <v>-0.62030971451913253</v>
      </c>
      <c r="F625" s="304">
        <f t="shared" ca="1" si="271"/>
        <v>0.90033143625171541</v>
      </c>
      <c r="G625" s="306">
        <f t="shared" ca="1" si="272"/>
        <v>7.4083706132633322</v>
      </c>
      <c r="H625" s="307">
        <f t="shared" ca="1" si="273"/>
        <v>-104.33221520306108</v>
      </c>
      <c r="I625" s="304">
        <f t="shared" ca="1" si="274"/>
        <v>104.5949094570157</v>
      </c>
      <c r="J625" s="306">
        <f t="shared" ca="1" si="275"/>
        <v>839.7136314269211</v>
      </c>
      <c r="K625" s="307">
        <f t="shared" ca="1" si="276"/>
        <v>-1.7989079451389185</v>
      </c>
      <c r="L625" s="304">
        <f t="shared" ca="1" si="261"/>
        <v>839.71555831363651</v>
      </c>
      <c r="M625" s="306">
        <f t="shared" ca="1" si="277"/>
        <v>-1.4999078004996458</v>
      </c>
      <c r="N625" s="304">
        <f t="shared" ca="1" si="278"/>
        <v>-85.93838662737997</v>
      </c>
      <c r="P625" s="310">
        <f t="shared" ca="1" si="279"/>
        <v>23</v>
      </c>
      <c r="Q625" s="304">
        <f t="shared" ca="1" si="280"/>
        <v>0</v>
      </c>
      <c r="R625" s="306">
        <f t="shared" ca="1" si="281"/>
        <v>0</v>
      </c>
      <c r="S625" s="307">
        <f t="shared" ca="1" si="282"/>
        <v>2.9792999999999985</v>
      </c>
      <c r="T625" s="304">
        <f t="shared" ca="1" si="262"/>
        <v>29.226932999999988</v>
      </c>
      <c r="U625" s="311">
        <f t="shared" ca="1" si="263"/>
        <v>0</v>
      </c>
      <c r="V625" s="306">
        <f t="shared" ca="1" si="264"/>
        <v>1.2252203860459903</v>
      </c>
      <c r="W625" s="304">
        <f t="shared" ca="1" si="265"/>
        <v>27.447840434737561</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0.572532231401226</v>
      </c>
      <c r="AH625" s="304">
        <f t="shared" ca="1" si="289"/>
        <v>-9.2128291038224361</v>
      </c>
    </row>
    <row r="626" spans="1:34" x14ac:dyDescent="0.2">
      <c r="A626" s="347">
        <f t="shared" ca="1" si="267"/>
        <v>1E-4</v>
      </c>
      <c r="B626" s="304">
        <f t="shared" ca="1" si="268"/>
        <v>37.011800000000612</v>
      </c>
      <c r="D626" s="306">
        <f t="shared" ca="1" si="269"/>
        <v>-0.65253843309253634</v>
      </c>
      <c r="E626" s="307">
        <f t="shared" ca="1" si="270"/>
        <v>-0.62028963267677462</v>
      </c>
      <c r="F626" s="304">
        <f t="shared" ca="1" si="271"/>
        <v>0.90031418686431375</v>
      </c>
      <c r="G626" s="306">
        <f t="shared" ca="1" si="272"/>
        <v>7.408305359420023</v>
      </c>
      <c r="H626" s="307">
        <f t="shared" ca="1" si="273"/>
        <v>-104.33227723202435</v>
      </c>
      <c r="I626" s="304">
        <f t="shared" ca="1" si="274"/>
        <v>104.5949667083383</v>
      </c>
      <c r="J626" s="306">
        <f t="shared" ca="1" si="275"/>
        <v>839.7136314269211</v>
      </c>
      <c r="K626" s="307">
        <f t="shared" ca="1" si="276"/>
        <v>-1.8093411697606727</v>
      </c>
      <c r="L626" s="304">
        <f t="shared" ca="1" si="261"/>
        <v>839.71558072936557</v>
      </c>
      <c r="M626" s="306">
        <f t="shared" ca="1" si="277"/>
        <v>-1.4999084648090086</v>
      </c>
      <c r="N626" s="304">
        <f t="shared" ca="1" si="278"/>
        <v>-85.938424689502753</v>
      </c>
      <c r="P626" s="310">
        <f t="shared" ca="1" si="279"/>
        <v>23</v>
      </c>
      <c r="Q626" s="304">
        <f t="shared" ca="1" si="280"/>
        <v>0</v>
      </c>
      <c r="R626" s="306">
        <f t="shared" ca="1" si="281"/>
        <v>0</v>
      </c>
      <c r="S626" s="307">
        <f t="shared" ca="1" si="282"/>
        <v>2.9792999999999985</v>
      </c>
      <c r="T626" s="304">
        <f t="shared" ca="1" si="262"/>
        <v>29.226932999999988</v>
      </c>
      <c r="U626" s="311">
        <f t="shared" ca="1" si="263"/>
        <v>0</v>
      </c>
      <c r="V626" s="306">
        <f t="shared" ca="1" si="264"/>
        <v>1.2252216643466169</v>
      </c>
      <c r="W626" s="304">
        <f t="shared" ca="1" si="265"/>
        <v>27.44789911957341</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0.57251299517136189</v>
      </c>
      <c r="AH626" s="304">
        <f t="shared" ca="1" si="289"/>
        <v>-9.212848801643867</v>
      </c>
    </row>
    <row r="627" spans="1:34" x14ac:dyDescent="0.2">
      <c r="A627" s="347">
        <f t="shared" ca="1" si="267"/>
        <v>1E-4</v>
      </c>
      <c r="B627" s="304">
        <f t="shared" ca="1" si="268"/>
        <v>37.011900000000615</v>
      </c>
      <c r="D627" s="306">
        <f t="shared" ca="1" si="269"/>
        <v>-0.65253372342803695</v>
      </c>
      <c r="E627" s="307">
        <f t="shared" ca="1" si="270"/>
        <v>-0.62026955113672599</v>
      </c>
      <c r="F627" s="304">
        <f t="shared" ca="1" si="271"/>
        <v>0.90029693783674136</v>
      </c>
      <c r="G627" s="306">
        <f t="shared" ca="1" si="272"/>
        <v>7.4082401060476801</v>
      </c>
      <c r="H627" s="307">
        <f t="shared" ca="1" si="273"/>
        <v>-104.33233925897947</v>
      </c>
      <c r="I627" s="304">
        <f t="shared" ca="1" si="274"/>
        <v>104.59502395773731</v>
      </c>
      <c r="J627" s="306">
        <f t="shared" ca="1" si="275"/>
        <v>839.7136314269211</v>
      </c>
      <c r="K627" s="307">
        <f t="shared" ca="1" si="276"/>
        <v>-1.819774400585223</v>
      </c>
      <c r="L627" s="304">
        <f t="shared" ca="1" si="261"/>
        <v>839.71560327473742</v>
      </c>
      <c r="M627" s="306">
        <f t="shared" ca="1" si="277"/>
        <v>-1.4999091291117927</v>
      </c>
      <c r="N627" s="304">
        <f t="shared" ca="1" si="278"/>
        <v>-85.938462751248608</v>
      </c>
      <c r="P627" s="310">
        <f t="shared" ca="1" si="279"/>
        <v>23</v>
      </c>
      <c r="Q627" s="304">
        <f t="shared" ca="1" si="280"/>
        <v>0</v>
      </c>
      <c r="R627" s="306">
        <f t="shared" ca="1" si="281"/>
        <v>0</v>
      </c>
      <c r="S627" s="307">
        <f t="shared" ca="1" si="282"/>
        <v>2.9792999999999985</v>
      </c>
      <c r="T627" s="304">
        <f t="shared" ca="1" si="262"/>
        <v>29.226932999999988</v>
      </c>
      <c r="U627" s="311">
        <f t="shared" ca="1" si="263"/>
        <v>0</v>
      </c>
      <c r="V627" s="306">
        <f t="shared" ca="1" si="264"/>
        <v>1.2252229426493382</v>
      </c>
      <c r="W627" s="304">
        <f t="shared" ca="1" si="265"/>
        <v>27.447957803525739</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0.57249375922916634</v>
      </c>
      <c r="AH627" s="304">
        <f t="shared" ca="1" si="289"/>
        <v>-9.2128684991687386</v>
      </c>
    </row>
    <row r="628" spans="1:34" x14ac:dyDescent="0.2">
      <c r="A628" s="347">
        <f t="shared" ca="1" si="267"/>
        <v>1E-4</v>
      </c>
      <c r="B628" s="304">
        <f t="shared" ca="1" si="268"/>
        <v>37.012000000000619</v>
      </c>
      <c r="D628" s="306">
        <f t="shared" ca="1" si="269"/>
        <v>-0.65252901377659756</v>
      </c>
      <c r="E628" s="307">
        <f t="shared" ca="1" si="270"/>
        <v>-0.62024946989897956</v>
      </c>
      <c r="F628" s="304">
        <f t="shared" ca="1" si="271"/>
        <v>0.90027968916899603</v>
      </c>
      <c r="G628" s="306">
        <f t="shared" ca="1" si="272"/>
        <v>7.4081748531463028</v>
      </c>
      <c r="H628" s="307">
        <f t="shared" ca="1" si="273"/>
        <v>-104.33240128392646</v>
      </c>
      <c r="I628" s="304">
        <f t="shared" ca="1" si="274"/>
        <v>104.59508120521274</v>
      </c>
      <c r="J628" s="306">
        <f t="shared" ca="1" si="275"/>
        <v>839.7136314269211</v>
      </c>
      <c r="K628" s="307">
        <f t="shared" ca="1" si="276"/>
        <v>-1.8302076376123684</v>
      </c>
      <c r="L628" s="304">
        <f t="shared" ca="1" si="261"/>
        <v>839.71562594975205</v>
      </c>
      <c r="M628" s="306">
        <f t="shared" ca="1" si="277"/>
        <v>-1.4999097934079983</v>
      </c>
      <c r="N628" s="304">
        <f t="shared" ca="1" si="278"/>
        <v>-85.938500812617534</v>
      </c>
      <c r="P628" s="310">
        <f t="shared" ca="1" si="279"/>
        <v>23</v>
      </c>
      <c r="Q628" s="304">
        <f t="shared" ca="1" si="280"/>
        <v>0</v>
      </c>
      <c r="R628" s="306">
        <f t="shared" ca="1" si="281"/>
        <v>0</v>
      </c>
      <c r="S628" s="307">
        <f t="shared" ca="1" si="282"/>
        <v>2.9792999999999985</v>
      </c>
      <c r="T628" s="304">
        <f t="shared" ca="1" si="262"/>
        <v>29.226932999999988</v>
      </c>
      <c r="U628" s="311">
        <f t="shared" ca="1" si="263"/>
        <v>0</v>
      </c>
      <c r="V628" s="306">
        <f t="shared" ca="1" si="264"/>
        <v>1.2252242209541528</v>
      </c>
      <c r="W628" s="304">
        <f t="shared" ca="1" si="265"/>
        <v>27.448016486594533</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0.57247452357463402</v>
      </c>
      <c r="AH628" s="304">
        <f t="shared" ca="1" si="289"/>
        <v>-9.2128881963970581</v>
      </c>
    </row>
    <row r="629" spans="1:34" x14ac:dyDescent="0.2">
      <c r="A629" s="347">
        <f t="shared" ca="1" si="267"/>
        <v>1E-4</v>
      </c>
      <c r="B629" s="304">
        <f t="shared" ca="1" si="268"/>
        <v>37.012100000000622</v>
      </c>
      <c r="D629" s="306">
        <f t="shared" ca="1" si="269"/>
        <v>-0.65252430413821683</v>
      </c>
      <c r="E629" s="307">
        <f t="shared" ca="1" si="270"/>
        <v>-0.62022938896354418</v>
      </c>
      <c r="F629" s="304">
        <f t="shared" ca="1" si="271"/>
        <v>0.90026244086108331</v>
      </c>
      <c r="G629" s="306">
        <f t="shared" ca="1" si="272"/>
        <v>7.4081096007158891</v>
      </c>
      <c r="H629" s="307">
        <f t="shared" ca="1" si="273"/>
        <v>-104.33246330686535</v>
      </c>
      <c r="I629" s="304">
        <f t="shared" ca="1" si="274"/>
        <v>104.59513845076464</v>
      </c>
      <c r="J629" s="306">
        <f t="shared" ca="1" si="275"/>
        <v>839.7136314269211</v>
      </c>
      <c r="K629" s="307">
        <f t="shared" ca="1" si="276"/>
        <v>-1.8406408808419079</v>
      </c>
      <c r="L629" s="304">
        <f t="shared" ca="1" si="261"/>
        <v>839.71564875440981</v>
      </c>
      <c r="M629" s="306">
        <f t="shared" ca="1" si="277"/>
        <v>-1.4999104576976259</v>
      </c>
      <c r="N629" s="304">
        <f t="shared" ca="1" si="278"/>
        <v>-85.938538873609559</v>
      </c>
      <c r="P629" s="310">
        <f t="shared" ca="1" si="279"/>
        <v>23</v>
      </c>
      <c r="Q629" s="304">
        <f t="shared" ca="1" si="280"/>
        <v>0</v>
      </c>
      <c r="R629" s="306">
        <f t="shared" ca="1" si="281"/>
        <v>0</v>
      </c>
      <c r="S629" s="307">
        <f t="shared" ca="1" si="282"/>
        <v>2.9792999999999985</v>
      </c>
      <c r="T629" s="304">
        <f t="shared" ca="1" si="262"/>
        <v>29.226932999999988</v>
      </c>
      <c r="U629" s="311">
        <f t="shared" ca="1" si="263"/>
        <v>0</v>
      </c>
      <c r="V629" s="306">
        <f t="shared" ca="1" si="264"/>
        <v>1.2252254992610609</v>
      </c>
      <c r="W629" s="304">
        <f t="shared" ca="1" si="265"/>
        <v>27.448075168779805</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0.57245528820777203</v>
      </c>
      <c r="AH629" s="304">
        <f t="shared" ca="1" si="289"/>
        <v>-9.2129078933288184</v>
      </c>
    </row>
    <row r="630" spans="1:34" x14ac:dyDescent="0.2">
      <c r="A630" s="347">
        <f t="shared" ca="1" si="267"/>
        <v>1E-4</v>
      </c>
      <c r="B630" s="304">
        <f t="shared" ca="1" si="268"/>
        <v>37.012200000000625</v>
      </c>
      <c r="D630" s="306">
        <f t="shared" ca="1" si="269"/>
        <v>-0.65251959451289177</v>
      </c>
      <c r="E630" s="307">
        <f t="shared" ca="1" si="270"/>
        <v>-0.62020930833040921</v>
      </c>
      <c r="F630" s="304">
        <f t="shared" ca="1" si="271"/>
        <v>0.90024519291299376</v>
      </c>
      <c r="G630" s="306">
        <f t="shared" ca="1" si="272"/>
        <v>7.4080443487564374</v>
      </c>
      <c r="H630" s="307">
        <f t="shared" ca="1" si="273"/>
        <v>-104.33252532779618</v>
      </c>
      <c r="I630" s="304">
        <f t="shared" ca="1" si="274"/>
        <v>104.59519569439301</v>
      </c>
      <c r="J630" s="306">
        <f t="shared" ca="1" si="275"/>
        <v>839.7136314269211</v>
      </c>
      <c r="K630" s="307">
        <f t="shared" ca="1" si="276"/>
        <v>-1.8510741302736411</v>
      </c>
      <c r="L630" s="304">
        <f t="shared" ca="1" si="261"/>
        <v>839.71567168871081</v>
      </c>
      <c r="M630" s="306">
        <f t="shared" ca="1" si="277"/>
        <v>-1.4999111219806749</v>
      </c>
      <c r="N630" s="304">
        <f t="shared" ca="1" si="278"/>
        <v>-85.93857693422467</v>
      </c>
      <c r="P630" s="310">
        <f t="shared" ca="1" si="279"/>
        <v>23</v>
      </c>
      <c r="Q630" s="304">
        <f t="shared" ca="1" si="280"/>
        <v>0</v>
      </c>
      <c r="R630" s="306">
        <f t="shared" ca="1" si="281"/>
        <v>0</v>
      </c>
      <c r="S630" s="307">
        <f t="shared" ca="1" si="282"/>
        <v>2.9792999999999985</v>
      </c>
      <c r="T630" s="304">
        <f t="shared" ca="1" si="262"/>
        <v>29.226932999999988</v>
      </c>
      <c r="U630" s="311">
        <f t="shared" ca="1" si="263"/>
        <v>0</v>
      </c>
      <c r="V630" s="306">
        <f t="shared" ca="1" si="264"/>
        <v>1.2252267775700634</v>
      </c>
      <c r="W630" s="304">
        <f t="shared" ca="1" si="265"/>
        <v>27.448133850081586</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0.57243605312857504</v>
      </c>
      <c r="AH630" s="304">
        <f t="shared" ca="1" si="289"/>
        <v>-9.2129275899640248</v>
      </c>
    </row>
    <row r="631" spans="1:34" x14ac:dyDescent="0.2">
      <c r="A631" s="347">
        <f t="shared" ca="1" si="267"/>
        <v>1E-4</v>
      </c>
      <c r="B631" s="304">
        <f t="shared" ca="1" si="268"/>
        <v>37.012300000000629</v>
      </c>
      <c r="D631" s="306">
        <f t="shared" ca="1" si="269"/>
        <v>-0.65251488490062826</v>
      </c>
      <c r="E631" s="307">
        <f t="shared" ca="1" si="270"/>
        <v>-0.62018922799956755</v>
      </c>
      <c r="F631" s="304">
        <f t="shared" ca="1" si="271"/>
        <v>0.90022794532472705</v>
      </c>
      <c r="G631" s="306">
        <f t="shared" ca="1" si="272"/>
        <v>7.4079790972679476</v>
      </c>
      <c r="H631" s="307">
        <f t="shared" ca="1" si="273"/>
        <v>-104.33258734671898</v>
      </c>
      <c r="I631" s="304">
        <f t="shared" ca="1" si="274"/>
        <v>104.59525293609795</v>
      </c>
      <c r="J631" s="306">
        <f t="shared" ca="1" si="275"/>
        <v>839.7136314269211</v>
      </c>
      <c r="K631" s="307">
        <f t="shared" ca="1" si="276"/>
        <v>-1.8615073859073668</v>
      </c>
      <c r="L631" s="304">
        <f t="shared" ca="1" si="261"/>
        <v>839.71569475265551</v>
      </c>
      <c r="M631" s="306">
        <f t="shared" ca="1" si="277"/>
        <v>-1.4999117862571456</v>
      </c>
      <c r="N631" s="304">
        <f t="shared" ca="1" si="278"/>
        <v>-85.938614994462881</v>
      </c>
      <c r="P631" s="310">
        <f t="shared" ca="1" si="279"/>
        <v>23</v>
      </c>
      <c r="Q631" s="304">
        <f t="shared" ca="1" si="280"/>
        <v>0</v>
      </c>
      <c r="R631" s="306">
        <f t="shared" ca="1" si="281"/>
        <v>0</v>
      </c>
      <c r="S631" s="307">
        <f t="shared" ca="1" si="282"/>
        <v>2.9792999999999985</v>
      </c>
      <c r="T631" s="304">
        <f t="shared" ca="1" si="262"/>
        <v>29.226932999999988</v>
      </c>
      <c r="U631" s="311">
        <f t="shared" ca="1" si="263"/>
        <v>0</v>
      </c>
      <c r="V631" s="306">
        <f t="shared" ca="1" si="264"/>
        <v>1.225228055881159</v>
      </c>
      <c r="W631" s="304">
        <f t="shared" ca="1" si="265"/>
        <v>27.448192530499888</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0.57241681833703417</v>
      </c>
      <c r="AH631" s="304">
        <f t="shared" ca="1" si="289"/>
        <v>-9.212947286302688</v>
      </c>
    </row>
    <row r="632" spans="1:34" x14ac:dyDescent="0.2">
      <c r="A632" s="347">
        <f t="shared" ca="1" si="267"/>
        <v>1E-4</v>
      </c>
      <c r="B632" s="304">
        <f t="shared" ca="1" si="268"/>
        <v>37.012400000000632</v>
      </c>
      <c r="D632" s="306">
        <f t="shared" ca="1" si="269"/>
        <v>-0.65251017530142574</v>
      </c>
      <c r="E632" s="307">
        <f t="shared" ca="1" si="270"/>
        <v>-0.62016914797101563</v>
      </c>
      <c r="F632" s="304">
        <f t="shared" ca="1" si="271"/>
        <v>0.90021069809628063</v>
      </c>
      <c r="G632" s="306">
        <f t="shared" ca="1" si="272"/>
        <v>7.407913846250417</v>
      </c>
      <c r="H632" s="307">
        <f t="shared" ca="1" si="273"/>
        <v>-104.33264936363378</v>
      </c>
      <c r="I632" s="304">
        <f t="shared" ca="1" si="274"/>
        <v>104.5953101758794</v>
      </c>
      <c r="J632" s="306">
        <f t="shared" ca="1" si="275"/>
        <v>839.7136314269211</v>
      </c>
      <c r="K632" s="307">
        <f t="shared" ca="1" si="276"/>
        <v>-1.8719406477428844</v>
      </c>
      <c r="L632" s="304">
        <f t="shared" ca="1" si="261"/>
        <v>839.71571794624379</v>
      </c>
      <c r="M632" s="306">
        <f t="shared" ca="1" si="277"/>
        <v>-1.4999124505270385</v>
      </c>
      <c r="N632" s="304">
        <f t="shared" ca="1" si="278"/>
        <v>-85.938653054324192</v>
      </c>
      <c r="P632" s="310">
        <f t="shared" ca="1" si="279"/>
        <v>23</v>
      </c>
      <c r="Q632" s="304">
        <f t="shared" ca="1" si="280"/>
        <v>0</v>
      </c>
      <c r="R632" s="306">
        <f t="shared" ca="1" si="281"/>
        <v>0</v>
      </c>
      <c r="S632" s="307">
        <f t="shared" ca="1" si="282"/>
        <v>2.9792999999999985</v>
      </c>
      <c r="T632" s="304">
        <f t="shared" ca="1" si="262"/>
        <v>29.226932999999988</v>
      </c>
      <c r="U632" s="311">
        <f t="shared" ca="1" si="263"/>
        <v>0</v>
      </c>
      <c r="V632" s="306">
        <f t="shared" ca="1" si="264"/>
        <v>1.2252293341943485</v>
      </c>
      <c r="W632" s="304">
        <f t="shared" ca="1" si="265"/>
        <v>27.448251210034698</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0.57239758383314054</v>
      </c>
      <c r="AH632" s="304">
        <f t="shared" ca="1" si="289"/>
        <v>-9.2129669823448133</v>
      </c>
    </row>
    <row r="633" spans="1:34" x14ac:dyDescent="0.2">
      <c r="A633" s="347">
        <f t="shared" ca="1" si="267"/>
        <v>1E-4</v>
      </c>
      <c r="B633" s="304">
        <f t="shared" ca="1" si="268"/>
        <v>37.012500000000635</v>
      </c>
      <c r="D633" s="306">
        <f t="shared" ca="1" si="269"/>
        <v>-0.65250546571528067</v>
      </c>
      <c r="E633" s="307">
        <f t="shared" ca="1" si="270"/>
        <v>-0.62014906824475524</v>
      </c>
      <c r="F633" s="304">
        <f t="shared" ca="1" si="271"/>
        <v>0.90019345122765326</v>
      </c>
      <c r="G633" s="306">
        <f t="shared" ca="1" si="272"/>
        <v>7.4078485957038458</v>
      </c>
      <c r="H633" s="307">
        <f t="shared" ca="1" si="273"/>
        <v>-104.33271137854061</v>
      </c>
      <c r="I633" s="304">
        <f t="shared" ca="1" si="274"/>
        <v>104.59536741373745</v>
      </c>
      <c r="J633" s="306">
        <f t="shared" ca="1" si="275"/>
        <v>839.7136314269211</v>
      </c>
      <c r="K633" s="307">
        <f t="shared" ca="1" si="276"/>
        <v>-1.882373915779993</v>
      </c>
      <c r="L633" s="304">
        <f t="shared" ca="1" si="261"/>
        <v>839.71574126947621</v>
      </c>
      <c r="M633" s="306">
        <f t="shared" ca="1" si="277"/>
        <v>-1.4999131147903531</v>
      </c>
      <c r="N633" s="304">
        <f t="shared" ca="1" si="278"/>
        <v>-85.938691113808602</v>
      </c>
      <c r="P633" s="310">
        <f t="shared" ca="1" si="279"/>
        <v>23</v>
      </c>
      <c r="Q633" s="304">
        <f t="shared" ca="1" si="280"/>
        <v>0</v>
      </c>
      <c r="R633" s="306">
        <f t="shared" ca="1" si="281"/>
        <v>0</v>
      </c>
      <c r="S633" s="307">
        <f t="shared" ca="1" si="282"/>
        <v>2.9792999999999985</v>
      </c>
      <c r="T633" s="304">
        <f t="shared" ca="1" si="262"/>
        <v>29.226932999999988</v>
      </c>
      <c r="U633" s="311">
        <f t="shared" ca="1" si="263"/>
        <v>0</v>
      </c>
      <c r="V633" s="306">
        <f t="shared" ca="1" si="264"/>
        <v>1.2252306125096319</v>
      </c>
      <c r="W633" s="304">
        <f t="shared" ca="1" si="265"/>
        <v>27.44830988868604</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0.57237834961690481</v>
      </c>
      <c r="AH633" s="304">
        <f t="shared" ca="1" si="289"/>
        <v>-9.2129866780903935</v>
      </c>
    </row>
    <row r="634" spans="1:34" x14ac:dyDescent="0.2">
      <c r="A634" s="347">
        <f t="shared" ca="1" si="267"/>
        <v>1E-4</v>
      </c>
      <c r="B634" s="304">
        <f t="shared" ca="1" si="268"/>
        <v>37.012600000000639</v>
      </c>
      <c r="D634" s="306">
        <f t="shared" ca="1" si="269"/>
        <v>-0.65250075614219882</v>
      </c>
      <c r="E634" s="307">
        <f t="shared" ca="1" si="270"/>
        <v>-0.62012898882077927</v>
      </c>
      <c r="F634" s="304">
        <f t="shared" ca="1" si="271"/>
        <v>0.90017620471884463</v>
      </c>
      <c r="G634" s="306">
        <f t="shared" ca="1" si="272"/>
        <v>7.4077833456282312</v>
      </c>
      <c r="H634" s="307">
        <f t="shared" ca="1" si="273"/>
        <v>-104.33277339143949</v>
      </c>
      <c r="I634" s="304">
        <f t="shared" ca="1" si="274"/>
        <v>104.59542464967208</v>
      </c>
      <c r="J634" s="306">
        <f t="shared" ca="1" si="275"/>
        <v>839.7136314269211</v>
      </c>
      <c r="K634" s="307">
        <f t="shared" ca="1" si="276"/>
        <v>-1.892807190018492</v>
      </c>
      <c r="L634" s="304">
        <f t="shared" ca="1" si="261"/>
        <v>839.71576472235279</v>
      </c>
      <c r="M634" s="306">
        <f t="shared" ca="1" si="277"/>
        <v>-1.4999137790470898</v>
      </c>
      <c r="N634" s="304">
        <f t="shared" ca="1" si="278"/>
        <v>-85.938729172916126</v>
      </c>
      <c r="P634" s="310">
        <f t="shared" ca="1" si="279"/>
        <v>23</v>
      </c>
      <c r="Q634" s="304">
        <f t="shared" ca="1" si="280"/>
        <v>0</v>
      </c>
      <c r="R634" s="306">
        <f t="shared" ca="1" si="281"/>
        <v>0</v>
      </c>
      <c r="S634" s="307">
        <f t="shared" ca="1" si="282"/>
        <v>2.9792999999999985</v>
      </c>
      <c r="T634" s="304">
        <f t="shared" ca="1" si="262"/>
        <v>29.226932999999988</v>
      </c>
      <c r="U634" s="311">
        <f t="shared" ca="1" si="263"/>
        <v>0</v>
      </c>
      <c r="V634" s="306">
        <f t="shared" ca="1" si="264"/>
        <v>1.2252318908270088</v>
      </c>
      <c r="W634" s="304">
        <f t="shared" ca="1" si="265"/>
        <v>27.448368566453915</v>
      </c>
      <c r="Y634" s="314" t="str">
        <f t="shared" ca="1" si="283"/>
        <v/>
      </c>
      <c r="Z634" s="315" t="str">
        <f t="shared" ca="1" si="284"/>
        <v/>
      </c>
      <c r="AA634" s="316" t="str">
        <f t="shared" ca="1" si="285"/>
        <v/>
      </c>
      <c r="AC634" s="310" t="e">
        <f t="shared" ca="1" si="286"/>
        <v>#N/A</v>
      </c>
      <c r="AD634" s="323" t="e">
        <f t="shared" ca="1" si="287"/>
        <v>#N/A</v>
      </c>
      <c r="AE634" s="324" t="e">
        <f t="shared" ca="1" si="266"/>
        <v>#N/A</v>
      </c>
      <c r="AG634" s="306">
        <f t="shared" ca="1" si="288"/>
        <v>0.57235911568831455</v>
      </c>
      <c r="AH634" s="304">
        <f t="shared" ca="1" si="289"/>
        <v>-9.2130063735394394</v>
      </c>
    </row>
    <row r="635" spans="1:34" x14ac:dyDescent="0.2">
      <c r="A635" s="347">
        <f t="shared" ca="1" si="267"/>
        <v>1E-4</v>
      </c>
      <c r="B635" s="304">
        <f t="shared" ca="1" si="268"/>
        <v>37.012700000000642</v>
      </c>
      <c r="D635" s="306">
        <f t="shared" ca="1" si="269"/>
        <v>-0.65249604658217686</v>
      </c>
      <c r="E635" s="307">
        <f t="shared" ca="1" si="270"/>
        <v>-0.62010890969908772</v>
      </c>
      <c r="F635" s="304">
        <f t="shared" ca="1" si="271"/>
        <v>0.90015895856985262</v>
      </c>
      <c r="G635" s="306">
        <f t="shared" ca="1" si="272"/>
        <v>7.4077180960235731</v>
      </c>
      <c r="H635" s="307">
        <f t="shared" ca="1" si="273"/>
        <v>-104.33283540233046</v>
      </c>
      <c r="I635" s="304">
        <f t="shared" ca="1" si="274"/>
        <v>104.59548188368336</v>
      </c>
      <c r="J635" s="306">
        <f t="shared" ca="1" si="275"/>
        <v>839.7136314269211</v>
      </c>
      <c r="K635" s="307">
        <f t="shared" ca="1" si="276"/>
        <v>-1.9032404704581805</v>
      </c>
      <c r="L635" s="304">
        <f t="shared" ca="1" si="261"/>
        <v>839.71578830487374</v>
      </c>
      <c r="M635" s="306">
        <f t="shared" ca="1" si="277"/>
        <v>-1.4999144432972487</v>
      </c>
      <c r="N635" s="304">
        <f t="shared" ca="1" si="278"/>
        <v>-85.938767231646779</v>
      </c>
      <c r="P635" s="310">
        <f t="shared" ca="1" si="279"/>
        <v>23</v>
      </c>
      <c r="Q635" s="304">
        <f t="shared" ca="1" si="280"/>
        <v>0</v>
      </c>
      <c r="R635" s="306">
        <f t="shared" ca="1" si="281"/>
        <v>0</v>
      </c>
      <c r="S635" s="307">
        <f t="shared" ca="1" si="282"/>
        <v>2.9792999999999985</v>
      </c>
      <c r="T635" s="304">
        <f t="shared" ca="1" si="262"/>
        <v>29.226932999999988</v>
      </c>
      <c r="U635" s="311">
        <f t="shared" ca="1" si="263"/>
        <v>0</v>
      </c>
      <c r="V635" s="306">
        <f t="shared" ca="1" si="264"/>
        <v>1.2252331691464793</v>
      </c>
      <c r="W635" s="304">
        <f t="shared" ca="1" si="265"/>
        <v>27.448427243338333</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0.57233988204736974</v>
      </c>
      <c r="AH635" s="304">
        <f t="shared" ca="1" si="289"/>
        <v>-9.213026068691951</v>
      </c>
    </row>
    <row r="636" spans="1:34" x14ac:dyDescent="0.2">
      <c r="A636" s="347">
        <f t="shared" ca="1" si="267"/>
        <v>1E-4</v>
      </c>
      <c r="B636" s="304">
        <f t="shared" ca="1" si="268"/>
        <v>37.012800000000645</v>
      </c>
      <c r="D636" s="306">
        <f t="shared" ca="1" si="269"/>
        <v>-0.652491337035216</v>
      </c>
      <c r="E636" s="307">
        <f t="shared" ca="1" si="270"/>
        <v>-0.62008883087967703</v>
      </c>
      <c r="F636" s="304">
        <f t="shared" ca="1" si="271"/>
        <v>0.90014171278067578</v>
      </c>
      <c r="G636" s="306">
        <f t="shared" ca="1" si="272"/>
        <v>7.4076528468898699</v>
      </c>
      <c r="H636" s="307">
        <f t="shared" ca="1" si="273"/>
        <v>-104.33289741121355</v>
      </c>
      <c r="I636" s="304">
        <f t="shared" ca="1" si="274"/>
        <v>104.59553911577132</v>
      </c>
      <c r="J636" s="306">
        <f t="shared" ca="1" si="275"/>
        <v>839.7136314269211</v>
      </c>
      <c r="K636" s="307">
        <f t="shared" ca="1" si="276"/>
        <v>-1.9136737570988576</v>
      </c>
      <c r="L636" s="304">
        <f t="shared" ca="1" si="261"/>
        <v>839.7158120170393</v>
      </c>
      <c r="M636" s="306">
        <f t="shared" ca="1" si="277"/>
        <v>-1.4999151075408297</v>
      </c>
      <c r="N636" s="304">
        <f t="shared" ca="1" si="278"/>
        <v>-85.938805290000545</v>
      </c>
      <c r="P636" s="310">
        <f t="shared" ca="1" si="279"/>
        <v>23</v>
      </c>
      <c r="Q636" s="304">
        <f t="shared" ca="1" si="280"/>
        <v>0</v>
      </c>
      <c r="R636" s="306">
        <f t="shared" ca="1" si="281"/>
        <v>0</v>
      </c>
      <c r="S636" s="307">
        <f t="shared" ca="1" si="282"/>
        <v>2.9792999999999985</v>
      </c>
      <c r="T636" s="304">
        <f t="shared" ca="1" si="262"/>
        <v>29.226932999999988</v>
      </c>
      <c r="U636" s="311">
        <f t="shared" ca="1" si="263"/>
        <v>0</v>
      </c>
      <c r="V636" s="306">
        <f t="shared" ca="1" si="264"/>
        <v>1.2252344474680432</v>
      </c>
      <c r="W636" s="304">
        <f t="shared" ca="1" si="265"/>
        <v>27.448485919339319</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0.57232064869407218</v>
      </c>
      <c r="AH636" s="304">
        <f t="shared" ca="1" si="289"/>
        <v>-9.2130457635479299</v>
      </c>
    </row>
    <row r="637" spans="1:34" x14ac:dyDescent="0.2">
      <c r="A637" s="347">
        <f t="shared" ca="1" si="267"/>
        <v>1E-4</v>
      </c>
      <c r="B637" s="304">
        <f t="shared" ca="1" si="268"/>
        <v>37.012900000000649</v>
      </c>
      <c r="D637" s="306">
        <f t="shared" ca="1" si="269"/>
        <v>-0.65248662750131814</v>
      </c>
      <c r="E637" s="307">
        <f t="shared" ca="1" si="270"/>
        <v>-0.62006875236254011</v>
      </c>
      <c r="F637" s="304">
        <f t="shared" ca="1" si="271"/>
        <v>0.9001244673513108</v>
      </c>
      <c r="G637" s="306">
        <f t="shared" ca="1" si="272"/>
        <v>7.4075875982271198</v>
      </c>
      <c r="H637" s="307">
        <f t="shared" ca="1" si="273"/>
        <v>-104.33295941808879</v>
      </c>
      <c r="I637" s="304">
        <f t="shared" ca="1" si="274"/>
        <v>104.59559634593596</v>
      </c>
      <c r="J637" s="306">
        <f t="shared" ca="1" si="275"/>
        <v>839.7136314269211</v>
      </c>
      <c r="K637" s="307">
        <f t="shared" ca="1" si="276"/>
        <v>-1.9241070499403228</v>
      </c>
      <c r="L637" s="304">
        <f t="shared" ca="1" si="261"/>
        <v>839.7158358588498</v>
      </c>
      <c r="M637" s="306">
        <f t="shared" ca="1" si="277"/>
        <v>-1.4999157717778329</v>
      </c>
      <c r="N637" s="304">
        <f t="shared" ca="1" si="278"/>
        <v>-85.938843347977411</v>
      </c>
      <c r="P637" s="310">
        <f t="shared" ca="1" si="279"/>
        <v>23</v>
      </c>
      <c r="Q637" s="304">
        <f t="shared" ca="1" si="280"/>
        <v>0</v>
      </c>
      <c r="R637" s="306">
        <f t="shared" ca="1" si="281"/>
        <v>0</v>
      </c>
      <c r="S637" s="307">
        <f t="shared" ca="1" si="282"/>
        <v>2.9792999999999985</v>
      </c>
      <c r="T637" s="304">
        <f t="shared" ca="1" si="262"/>
        <v>29.226932999999988</v>
      </c>
      <c r="U637" s="311">
        <f t="shared" ca="1" si="263"/>
        <v>0</v>
      </c>
      <c r="V637" s="306">
        <f t="shared" ca="1" si="264"/>
        <v>1.2252357257917008</v>
      </c>
      <c r="W637" s="304">
        <f t="shared" ca="1" si="265"/>
        <v>27.44854459445687</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0.57230141562840764</v>
      </c>
      <c r="AH637" s="304">
        <f t="shared" ca="1" si="289"/>
        <v>-9.2130654581073852</v>
      </c>
    </row>
    <row r="638" spans="1:34" x14ac:dyDescent="0.2">
      <c r="A638" s="347">
        <f t="shared" ca="1" si="267"/>
        <v>1E-4</v>
      </c>
      <c r="B638" s="304">
        <f t="shared" ca="1" si="268"/>
        <v>37.013000000000652</v>
      </c>
      <c r="D638" s="306">
        <f t="shared" ca="1" si="269"/>
        <v>-0.65248191798048405</v>
      </c>
      <c r="E638" s="307">
        <f t="shared" ca="1" si="270"/>
        <v>-0.62004867414767695</v>
      </c>
      <c r="F638" s="304">
        <f t="shared" ca="1" si="271"/>
        <v>0.90010722228175866</v>
      </c>
      <c r="G638" s="306">
        <f t="shared" ca="1" si="272"/>
        <v>7.4075223500353218</v>
      </c>
      <c r="H638" s="307">
        <f t="shared" ca="1" si="273"/>
        <v>-104.33302142295621</v>
      </c>
      <c r="I638" s="304">
        <f t="shared" ca="1" si="274"/>
        <v>104.59565357417732</v>
      </c>
      <c r="J638" s="306">
        <f t="shared" ca="1" si="275"/>
        <v>839.7136314269211</v>
      </c>
      <c r="K638" s="307">
        <f t="shared" ca="1" si="276"/>
        <v>-1.9345403489823749</v>
      </c>
      <c r="L638" s="304">
        <f t="shared" ca="1" si="261"/>
        <v>839.71585983030525</v>
      </c>
      <c r="M638" s="306">
        <f t="shared" ca="1" si="277"/>
        <v>-1.4999164360082584</v>
      </c>
      <c r="N638" s="304">
        <f t="shared" ca="1" si="278"/>
        <v>-85.938881405577419</v>
      </c>
      <c r="P638" s="310">
        <f t="shared" ca="1" si="279"/>
        <v>23</v>
      </c>
      <c r="Q638" s="304">
        <f t="shared" ca="1" si="280"/>
        <v>0</v>
      </c>
      <c r="R638" s="306">
        <f t="shared" ca="1" si="281"/>
        <v>0</v>
      </c>
      <c r="S638" s="307">
        <f t="shared" ca="1" si="282"/>
        <v>2.9792999999999985</v>
      </c>
      <c r="T638" s="304">
        <f t="shared" ca="1" si="262"/>
        <v>29.226932999999988</v>
      </c>
      <c r="U638" s="311">
        <f t="shared" ca="1" si="263"/>
        <v>0</v>
      </c>
      <c r="V638" s="306">
        <f t="shared" ca="1" si="264"/>
        <v>1.2252370041174518</v>
      </c>
      <c r="W638" s="304">
        <f t="shared" ca="1" si="265"/>
        <v>27.448603268690995</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0.57228218285038146</v>
      </c>
      <c r="AH638" s="304">
        <f t="shared" ca="1" si="289"/>
        <v>-9.2130851523703168</v>
      </c>
    </row>
    <row r="639" spans="1:34" x14ac:dyDescent="0.2">
      <c r="A639" s="347">
        <f t="shared" ca="1" si="267"/>
        <v>1E-4</v>
      </c>
      <c r="B639" s="304">
        <f t="shared" ca="1" si="268"/>
        <v>37.013100000000655</v>
      </c>
      <c r="D639" s="306">
        <f t="shared" ca="1" si="269"/>
        <v>-0.65247720847271284</v>
      </c>
      <c r="E639" s="307">
        <f t="shared" ca="1" si="270"/>
        <v>-0.62002859623508222</v>
      </c>
      <c r="F639" s="304">
        <f t="shared" ca="1" si="271"/>
        <v>0.90008997757201514</v>
      </c>
      <c r="G639" s="306">
        <f t="shared" ca="1" si="272"/>
        <v>7.4074571023144742</v>
      </c>
      <c r="H639" s="307">
        <f t="shared" ca="1" si="273"/>
        <v>-104.33308342581583</v>
      </c>
      <c r="I639" s="304">
        <f t="shared" ca="1" si="274"/>
        <v>104.59571080049543</v>
      </c>
      <c r="J639" s="306">
        <f t="shared" ca="1" si="275"/>
        <v>839.7136314269211</v>
      </c>
      <c r="K639" s="307">
        <f t="shared" ca="1" si="276"/>
        <v>-1.9449736542248135</v>
      </c>
      <c r="L639" s="304">
        <f t="shared" ca="1" si="261"/>
        <v>839.7158839314061</v>
      </c>
      <c r="M639" s="306">
        <f t="shared" ca="1" si="277"/>
        <v>-1.4999171002321066</v>
      </c>
      <c r="N639" s="304">
        <f t="shared" ca="1" si="278"/>
        <v>-85.93891946280057</v>
      </c>
      <c r="P639" s="310">
        <f t="shared" ca="1" si="279"/>
        <v>23</v>
      </c>
      <c r="Q639" s="304">
        <f t="shared" ca="1" si="280"/>
        <v>0</v>
      </c>
      <c r="R639" s="306">
        <f t="shared" ca="1" si="281"/>
        <v>0</v>
      </c>
      <c r="S639" s="307">
        <f t="shared" ca="1" si="282"/>
        <v>2.9792999999999985</v>
      </c>
      <c r="T639" s="304">
        <f t="shared" ca="1" si="262"/>
        <v>29.226932999999988</v>
      </c>
      <c r="U639" s="311">
        <f t="shared" ca="1" si="263"/>
        <v>0</v>
      </c>
      <c r="V639" s="306">
        <f t="shared" ca="1" si="264"/>
        <v>1.2252382824452968</v>
      </c>
      <c r="W639" s="304">
        <f t="shared" ca="1" si="265"/>
        <v>27.448661942041714</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0.57226295035999009</v>
      </c>
      <c r="AH639" s="304">
        <f t="shared" ca="1" si="289"/>
        <v>-9.2131048463367264</v>
      </c>
    </row>
    <row r="640" spans="1:34" x14ac:dyDescent="0.2">
      <c r="A640" s="347">
        <f t="shared" ca="1" si="267"/>
        <v>1E-4</v>
      </c>
      <c r="B640" s="304">
        <f t="shared" ca="1" si="268"/>
        <v>37.013200000000658</v>
      </c>
      <c r="D640" s="306">
        <f t="shared" ca="1" si="269"/>
        <v>-0.65247249897800375</v>
      </c>
      <c r="E640" s="307">
        <f t="shared" ca="1" si="270"/>
        <v>-0.62000851862475237</v>
      </c>
      <c r="F640" s="304">
        <f t="shared" ca="1" si="271"/>
        <v>0.90007273322207737</v>
      </c>
      <c r="G640" s="306">
        <f t="shared" ca="1" si="272"/>
        <v>7.4073918550645761</v>
      </c>
      <c r="H640" s="307">
        <f t="shared" ca="1" si="273"/>
        <v>-104.3331454266677</v>
      </c>
      <c r="I640" s="304">
        <f t="shared" ca="1" si="274"/>
        <v>104.59576802489032</v>
      </c>
      <c r="J640" s="306">
        <f t="shared" ca="1" si="275"/>
        <v>839.7136314269211</v>
      </c>
      <c r="K640" s="307">
        <f t="shared" ca="1" si="276"/>
        <v>-1.9554069656674378</v>
      </c>
      <c r="L640" s="304">
        <f t="shared" ca="1" si="261"/>
        <v>839.71590816215246</v>
      </c>
      <c r="M640" s="306">
        <f t="shared" ca="1" si="277"/>
        <v>-1.4999177644493771</v>
      </c>
      <c r="N640" s="304">
        <f t="shared" ca="1" si="278"/>
        <v>-85.938957519646863</v>
      </c>
      <c r="P640" s="310">
        <f t="shared" ca="1" si="279"/>
        <v>23</v>
      </c>
      <c r="Q640" s="304">
        <f t="shared" ca="1" si="280"/>
        <v>0</v>
      </c>
      <c r="R640" s="306">
        <f t="shared" ca="1" si="281"/>
        <v>0</v>
      </c>
      <c r="S640" s="307">
        <f t="shared" ca="1" si="282"/>
        <v>2.9792999999999985</v>
      </c>
      <c r="T640" s="304">
        <f t="shared" ca="1" si="262"/>
        <v>29.226932999999988</v>
      </c>
      <c r="U640" s="311">
        <f t="shared" ca="1" si="263"/>
        <v>0</v>
      </c>
      <c r="V640" s="306">
        <f t="shared" ca="1" si="264"/>
        <v>1.2252395607752344</v>
      </c>
      <c r="W640" s="304">
        <f t="shared" ca="1" si="265"/>
        <v>27.448720614509018</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0.57224371815722463</v>
      </c>
      <c r="AH640" s="304">
        <f t="shared" ca="1" si="289"/>
        <v>-9.2131245400066213</v>
      </c>
    </row>
    <row r="641" spans="1:34" x14ac:dyDescent="0.2">
      <c r="A641" s="347">
        <f t="shared" ca="1" si="267"/>
        <v>1E-4</v>
      </c>
      <c r="B641" s="304">
        <f t="shared" ca="1" si="268"/>
        <v>37.013300000000662</v>
      </c>
      <c r="D641" s="306">
        <f t="shared" ca="1" si="269"/>
        <v>-0.65246778949635997</v>
      </c>
      <c r="E641" s="307">
        <f t="shared" ca="1" si="270"/>
        <v>-0.61998844131668918</v>
      </c>
      <c r="F641" s="304">
        <f t="shared" ca="1" si="271"/>
        <v>0.90005548923194956</v>
      </c>
      <c r="G641" s="306">
        <f t="shared" ca="1" si="272"/>
        <v>7.4073266082856266</v>
      </c>
      <c r="H641" s="307">
        <f t="shared" ca="1" si="273"/>
        <v>-104.33320742551183</v>
      </c>
      <c r="I641" s="304">
        <f t="shared" ca="1" si="274"/>
        <v>104.59582524736201</v>
      </c>
      <c r="J641" s="306">
        <f t="shared" ca="1" si="275"/>
        <v>839.7136314269211</v>
      </c>
      <c r="K641" s="307">
        <f t="shared" ca="1" si="276"/>
        <v>-1.9658402833100468</v>
      </c>
      <c r="L641" s="304">
        <f t="shared" ca="1" si="261"/>
        <v>839.71593252254456</v>
      </c>
      <c r="M641" s="306">
        <f t="shared" ca="1" si="277"/>
        <v>-1.4999184286600704</v>
      </c>
      <c r="N641" s="304">
        <f t="shared" ca="1" si="278"/>
        <v>-85.938995576116298</v>
      </c>
      <c r="P641" s="310">
        <f t="shared" ca="1" si="279"/>
        <v>23</v>
      </c>
      <c r="Q641" s="304">
        <f t="shared" ca="1" si="280"/>
        <v>0</v>
      </c>
      <c r="R641" s="306">
        <f t="shared" ca="1" si="281"/>
        <v>0</v>
      </c>
      <c r="S641" s="307">
        <f t="shared" ca="1" si="282"/>
        <v>2.9792999999999985</v>
      </c>
      <c r="T641" s="304">
        <f t="shared" ca="1" si="262"/>
        <v>29.226932999999988</v>
      </c>
      <c r="U641" s="311">
        <f t="shared" ca="1" si="263"/>
        <v>0</v>
      </c>
      <c r="V641" s="306">
        <f t="shared" ca="1" si="264"/>
        <v>1.2252408391072662</v>
      </c>
      <c r="W641" s="304">
        <f t="shared" ca="1" si="265"/>
        <v>27.448779286092936</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0.57222448624209044</v>
      </c>
      <c r="AH641" s="304">
        <f t="shared" ca="1" si="289"/>
        <v>-9.2131442333799995</v>
      </c>
    </row>
    <row r="642" spans="1:34" x14ac:dyDescent="0.2">
      <c r="A642" s="347">
        <f t="shared" ca="1" si="267"/>
        <v>1E-4</v>
      </c>
      <c r="B642" s="304">
        <f t="shared" ca="1" si="268"/>
        <v>37.013400000000665</v>
      </c>
      <c r="D642" s="306">
        <f t="shared" ca="1" si="269"/>
        <v>-0.65246308002777875</v>
      </c>
      <c r="E642" s="307">
        <f t="shared" ca="1" si="270"/>
        <v>-0.61996836431088198</v>
      </c>
      <c r="F642" s="304">
        <f t="shared" ca="1" si="271"/>
        <v>0.90003824560162227</v>
      </c>
      <c r="G642" s="306">
        <f t="shared" ca="1" si="272"/>
        <v>7.407261361977624</v>
      </c>
      <c r="H642" s="307">
        <f t="shared" ca="1" si="273"/>
        <v>-104.33326942234827</v>
      </c>
      <c r="I642" s="304">
        <f t="shared" ca="1" si="274"/>
        <v>104.59588246791056</v>
      </c>
      <c r="J642" s="306">
        <f t="shared" ca="1" si="275"/>
        <v>839.7136314269211</v>
      </c>
      <c r="K642" s="307">
        <f t="shared" ca="1" si="276"/>
        <v>-1.9762736071524398</v>
      </c>
      <c r="L642" s="304">
        <f t="shared" ca="1" si="261"/>
        <v>839.71595701258263</v>
      </c>
      <c r="M642" s="306">
        <f t="shared" ca="1" si="277"/>
        <v>-1.4999190928641861</v>
      </c>
      <c r="N642" s="304">
        <f t="shared" ca="1" si="278"/>
        <v>-85.939033632208861</v>
      </c>
      <c r="P642" s="310">
        <f t="shared" ca="1" si="279"/>
        <v>23</v>
      </c>
      <c r="Q642" s="304">
        <f t="shared" ca="1" si="280"/>
        <v>0</v>
      </c>
      <c r="R642" s="306">
        <f t="shared" ca="1" si="281"/>
        <v>0</v>
      </c>
      <c r="S642" s="307">
        <f t="shared" ca="1" si="282"/>
        <v>2.9792999999999985</v>
      </c>
      <c r="T642" s="304">
        <f t="shared" ca="1" si="262"/>
        <v>29.226932999999988</v>
      </c>
      <c r="U642" s="311">
        <f t="shared" ca="1" si="263"/>
        <v>0</v>
      </c>
      <c r="V642" s="306">
        <f t="shared" ca="1" si="264"/>
        <v>1.2252421174413919</v>
      </c>
      <c r="W642" s="304">
        <f t="shared" ca="1" si="265"/>
        <v>27.448837956793493</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0.57220525461458038</v>
      </c>
      <c r="AH642" s="304">
        <f t="shared" ca="1" si="289"/>
        <v>-9.2131639264568683</v>
      </c>
    </row>
    <row r="643" spans="1:34" x14ac:dyDescent="0.2">
      <c r="A643" s="347">
        <f t="shared" ca="1" si="267"/>
        <v>1E-4</v>
      </c>
      <c r="B643" s="304">
        <f t="shared" ca="1" si="268"/>
        <v>37.013500000000668</v>
      </c>
      <c r="D643" s="306">
        <f t="shared" ca="1" si="269"/>
        <v>-0.6524583705722663</v>
      </c>
      <c r="E643" s="307">
        <f t="shared" ca="1" si="270"/>
        <v>-0.6199482876073219</v>
      </c>
      <c r="F643" s="304">
        <f t="shared" ca="1" si="271"/>
        <v>0.90002100233109428</v>
      </c>
      <c r="G643" s="306">
        <f t="shared" ca="1" si="272"/>
        <v>7.4071961161405664</v>
      </c>
      <c r="H643" s="307">
        <f t="shared" ca="1" si="273"/>
        <v>-104.33333141717702</v>
      </c>
      <c r="I643" s="304">
        <f t="shared" ca="1" si="274"/>
        <v>104.59593968653594</v>
      </c>
      <c r="J643" s="306">
        <f t="shared" ca="1" si="275"/>
        <v>839.7136314269211</v>
      </c>
      <c r="K643" s="307">
        <f t="shared" ca="1" si="276"/>
        <v>-1.9867069371944162</v>
      </c>
      <c r="L643" s="304">
        <f t="shared" ca="1" si="261"/>
        <v>839.71598163226679</v>
      </c>
      <c r="M643" s="306">
        <f t="shared" ca="1" si="277"/>
        <v>-1.4999197570617246</v>
      </c>
      <c r="N643" s="304">
        <f t="shared" ca="1" si="278"/>
        <v>-85.939071687924582</v>
      </c>
      <c r="P643" s="310">
        <f t="shared" ca="1" si="279"/>
        <v>23</v>
      </c>
      <c r="Q643" s="304">
        <f t="shared" ca="1" si="280"/>
        <v>0</v>
      </c>
      <c r="R643" s="306">
        <f t="shared" ca="1" si="281"/>
        <v>0</v>
      </c>
      <c r="S643" s="307">
        <f t="shared" ca="1" si="282"/>
        <v>2.9792999999999985</v>
      </c>
      <c r="T643" s="304">
        <f t="shared" ca="1" si="262"/>
        <v>29.226932999999988</v>
      </c>
      <c r="U643" s="311">
        <f t="shared" ca="1" si="263"/>
        <v>0</v>
      </c>
      <c r="V643" s="306">
        <f t="shared" ca="1" si="264"/>
        <v>1.2252433957776103</v>
      </c>
      <c r="W643" s="304">
        <f t="shared" ca="1" si="265"/>
        <v>27.448896626610644</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0.57218602327467849</v>
      </c>
      <c r="AH643" s="304">
        <f t="shared" ca="1" si="289"/>
        <v>-9.2131836192372401</v>
      </c>
    </row>
    <row r="644" spans="1:34" x14ac:dyDescent="0.2">
      <c r="A644" s="347">
        <f t="shared" ca="1" si="267"/>
        <v>1E-4</v>
      </c>
      <c r="B644" s="304">
        <f t="shared" ca="1" si="268"/>
        <v>37.013600000000672</v>
      </c>
      <c r="D644" s="306">
        <f t="shared" ca="1" si="269"/>
        <v>-0.65245366112981784</v>
      </c>
      <c r="E644" s="307">
        <f t="shared" ca="1" si="270"/>
        <v>-0.61992821120602848</v>
      </c>
      <c r="F644" s="304">
        <f t="shared" ca="1" si="271"/>
        <v>0.90000375942037569</v>
      </c>
      <c r="G644" s="306">
        <f t="shared" ca="1" si="272"/>
        <v>7.407130870774453</v>
      </c>
      <c r="H644" s="307">
        <f t="shared" ca="1" si="273"/>
        <v>-104.33339340999814</v>
      </c>
      <c r="I644" s="304">
        <f t="shared" ca="1" si="274"/>
        <v>104.59599690323823</v>
      </c>
      <c r="J644" s="306">
        <f t="shared" ca="1" si="275"/>
        <v>839.7136314269211</v>
      </c>
      <c r="K644" s="307">
        <f t="shared" ca="1" si="276"/>
        <v>-1.9971402734357748</v>
      </c>
      <c r="L644" s="304">
        <f t="shared" ref="L644:L707" ca="1" si="290">SQRT(pos_x^2+pos_z^2)</f>
        <v>839.71600638159737</v>
      </c>
      <c r="M644" s="306">
        <f t="shared" ca="1" si="277"/>
        <v>-1.4999204212526862</v>
      </c>
      <c r="N644" s="304">
        <f t="shared" ca="1" si="278"/>
        <v>-85.939109743263472</v>
      </c>
      <c r="P644" s="310">
        <f t="shared" ca="1" si="279"/>
        <v>23</v>
      </c>
      <c r="Q644" s="304">
        <f t="shared" ca="1" si="280"/>
        <v>0</v>
      </c>
      <c r="R644" s="306">
        <f t="shared" ca="1" si="281"/>
        <v>0</v>
      </c>
      <c r="S644" s="307">
        <f t="shared" ca="1" si="282"/>
        <v>2.9792999999999985</v>
      </c>
      <c r="T644" s="304">
        <f t="shared" ref="T644:T707" ca="1" si="291">m*g</f>
        <v>29.226932999999988</v>
      </c>
      <c r="U644" s="311">
        <f t="shared" ref="U644:U707" ca="1" si="292">IF(pos_xz&lt;L_rampe,Poids*COS(Beta),0)</f>
        <v>0</v>
      </c>
      <c r="V644" s="306">
        <f t="shared" ref="V644:V707" ca="1" si="293">Rho_moyen*(20000-Alt_rampe-pos_z)/(20000+Alt_rampe+pos_z)</f>
        <v>1.2252446741159229</v>
      </c>
      <c r="W644" s="304">
        <f t="shared" ref="W644:W707" ca="1" si="294">1/2*Rho*Sref*Cx*vit_xz^2</f>
        <v>27.448955295544462</v>
      </c>
      <c r="Y644" s="314" t="str">
        <f t="shared" ca="1" si="283"/>
        <v/>
      </c>
      <c r="Z644" s="315" t="str">
        <f t="shared" ca="1" si="284"/>
        <v/>
      </c>
      <c r="AA644" s="316" t="str">
        <f t="shared" ca="1" si="285"/>
        <v/>
      </c>
      <c r="AC644" s="310" t="e">
        <f t="shared" ca="1" si="286"/>
        <v>#N/A</v>
      </c>
      <c r="AD644" s="323" t="e">
        <f t="shared" ca="1" si="287"/>
        <v>#N/A</v>
      </c>
      <c r="AE644" s="324" t="e">
        <f t="shared" ref="AE644:AE707" ca="1" si="295">IF(t&lt;T_para, pos_z, NA())</f>
        <v>#N/A</v>
      </c>
      <c r="AG644" s="306">
        <f t="shared" ca="1" si="288"/>
        <v>0.57216679222240785</v>
      </c>
      <c r="AH644" s="304">
        <f t="shared" ca="1" si="289"/>
        <v>-9.2132033117210952</v>
      </c>
    </row>
    <row r="645" spans="1:34" x14ac:dyDescent="0.2">
      <c r="A645" s="347">
        <f t="shared" ref="A645:A708" ca="1" si="296">IF(B644+0.01&lt;=T_ini+ROUNDUP(Temps_fin_propu,0), 0.01, IF(K644&gt;0, 0.1, 0.0001))</f>
        <v>1E-4</v>
      </c>
      <c r="B645" s="304">
        <f t="shared" ref="B645:B708" ca="1" si="297">B644+pas</f>
        <v>37.013700000000675</v>
      </c>
      <c r="D645" s="306">
        <f t="shared" ref="D645:D708" ca="1" si="298">IF(AND(L644&lt;L_rampe,Poussee&lt;Poids*SIN(M644)),0,(-W644+Poussee)/m*COS(M644)-U644/m*SIN(M644))</f>
        <v>-0.65244895170043415</v>
      </c>
      <c r="E645" s="307">
        <f t="shared" ref="E645:E708" ca="1" si="299">IF(AND(L644&lt;L_rampe,Poussee&lt;Poids*SIN(M644)),0,(-W644+Poussee)/m*SIN(M644)+U644/m*COS(M644)-Poids/m)</f>
        <v>-0.61990813510697151</v>
      </c>
      <c r="F645" s="304">
        <f t="shared" ref="F645:F708" ca="1" si="300">SQRT(acc_x^2+acc_z^2)</f>
        <v>0.89998651686944664</v>
      </c>
      <c r="G645" s="306">
        <f t="shared" ref="G645:G708" ca="1" si="301">G644+acc_x*pas</f>
        <v>7.4070656258792829</v>
      </c>
      <c r="H645" s="307">
        <f t="shared" ref="H645:H708" ca="1" si="302">H644+acc_z*pas</f>
        <v>-104.33345540081164</v>
      </c>
      <c r="I645" s="304">
        <f t="shared" ref="I645:I708" ca="1" si="303">SQRT(vit_x^2+vit_z^2)</f>
        <v>104.59605411801745</v>
      </c>
      <c r="J645" s="306">
        <f t="shared" ref="J645:J708" ca="1" si="304">J644+0.5*(vit_x+G644)*pas*(K644&gt;=0)</f>
        <v>839.7136314269211</v>
      </c>
      <c r="K645" s="307">
        <f t="shared" ref="K645:K708" ca="1" si="305">K644+0.5*(vit_z+H644)*pas</f>
        <v>-2.0075736158763151</v>
      </c>
      <c r="L645" s="304">
        <f t="shared" ca="1" si="290"/>
        <v>839.7160312605746</v>
      </c>
      <c r="M645" s="306">
        <f t="shared" ref="M645:M708" ca="1" si="306">IF(AND(L644&gt;L_rampe,G645&gt;0),ATAN2(G645,H645),$M$4)</f>
        <v>-1.4999210854370706</v>
      </c>
      <c r="N645" s="304">
        <f t="shared" ref="N645:N708" ca="1" si="307">DEGREES(Beta)</f>
        <v>-85.939147798225505</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2.9792999999999985</v>
      </c>
      <c r="T645" s="304">
        <f t="shared" ca="1" si="291"/>
        <v>29.226932999999988</v>
      </c>
      <c r="U645" s="311">
        <f t="shared" ca="1" si="292"/>
        <v>0</v>
      </c>
      <c r="V645" s="306">
        <f t="shared" ca="1" si="293"/>
        <v>1.2252459524563279</v>
      </c>
      <c r="W645" s="304">
        <f t="shared" ca="1" si="294"/>
        <v>27.449013963594904</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0.57214756145774182</v>
      </c>
      <c r="AH645" s="304">
        <f t="shared" ref="AH645:AH708" ca="1" si="318">IF(AND(L644&lt;L_rampe,Poussee&lt;Poids*SIN(M644)), g*SIN(M644), (-W644+Poussee)/m)</f>
        <v>-9.2132230039084604</v>
      </c>
    </row>
    <row r="646" spans="1:34" x14ac:dyDescent="0.2">
      <c r="A646" s="347">
        <f t="shared" ca="1" si="296"/>
        <v>1E-4</v>
      </c>
      <c r="B646" s="304">
        <f t="shared" ca="1" si="297"/>
        <v>37.013800000000678</v>
      </c>
      <c r="D646" s="306">
        <f t="shared" ca="1" si="298"/>
        <v>-0.65244424228411757</v>
      </c>
      <c r="E646" s="307">
        <f t="shared" ca="1" si="299"/>
        <v>-0.61988805931016699</v>
      </c>
      <c r="F646" s="304">
        <f t="shared" ca="1" si="300"/>
        <v>0.89996927467832</v>
      </c>
      <c r="G646" s="306">
        <f t="shared" ca="1" si="301"/>
        <v>7.4070003814550542</v>
      </c>
      <c r="H646" s="307">
        <f t="shared" ca="1" si="302"/>
        <v>-104.33351738961757</v>
      </c>
      <c r="I646" s="304">
        <f t="shared" ca="1" si="303"/>
        <v>104.59611133087361</v>
      </c>
      <c r="J646" s="306">
        <f t="shared" ca="1" si="304"/>
        <v>839.7136314269211</v>
      </c>
      <c r="K646" s="307">
        <f t="shared" ca="1" si="305"/>
        <v>-2.0180069645158367</v>
      </c>
      <c r="L646" s="304">
        <f t="shared" ca="1" si="290"/>
        <v>839.71605626919859</v>
      </c>
      <c r="M646" s="306">
        <f t="shared" ca="1" si="306"/>
        <v>-1.4999217496148778</v>
      </c>
      <c r="N646" s="304">
        <f t="shared" ca="1" si="307"/>
        <v>-85.939185852810709</v>
      </c>
      <c r="P646" s="310">
        <f t="shared" ca="1" si="308"/>
        <v>23</v>
      </c>
      <c r="Q646" s="304">
        <f t="shared" ca="1" si="309"/>
        <v>0</v>
      </c>
      <c r="R646" s="306">
        <f t="shared" ca="1" si="310"/>
        <v>0</v>
      </c>
      <c r="S646" s="307">
        <f t="shared" ca="1" si="311"/>
        <v>2.9792999999999985</v>
      </c>
      <c r="T646" s="304">
        <f t="shared" ca="1" si="291"/>
        <v>29.226932999999988</v>
      </c>
      <c r="U646" s="311">
        <f t="shared" ca="1" si="292"/>
        <v>0</v>
      </c>
      <c r="V646" s="306">
        <f t="shared" ca="1" si="293"/>
        <v>1.2252472307988274</v>
      </c>
      <c r="W646" s="304">
        <f t="shared" ca="1" si="294"/>
        <v>27.449072630762032</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0.57212833098069282</v>
      </c>
      <c r="AH646" s="304">
        <f t="shared" ca="1" si="318"/>
        <v>-9.2132426957993214</v>
      </c>
    </row>
    <row r="647" spans="1:34" x14ac:dyDescent="0.2">
      <c r="A647" s="347">
        <f t="shared" ca="1" si="296"/>
        <v>1E-4</v>
      </c>
      <c r="B647" s="304">
        <f t="shared" ca="1" si="297"/>
        <v>37.013900000000682</v>
      </c>
      <c r="D647" s="306">
        <f t="shared" ca="1" si="298"/>
        <v>-0.6524395328808702</v>
      </c>
      <c r="E647" s="307">
        <f t="shared" ca="1" si="299"/>
        <v>-0.61986798381559716</v>
      </c>
      <c r="F647" s="304">
        <f t="shared" ca="1" si="300"/>
        <v>0.89995203284698544</v>
      </c>
      <c r="G647" s="306">
        <f t="shared" ca="1" si="301"/>
        <v>7.4069351375017662</v>
      </c>
      <c r="H647" s="307">
        <f t="shared" ca="1" si="302"/>
        <v>-104.33357937641595</v>
      </c>
      <c r="I647" s="304">
        <f t="shared" ca="1" si="303"/>
        <v>104.59616854180676</v>
      </c>
      <c r="J647" s="306">
        <f t="shared" ca="1" si="304"/>
        <v>839.7136314269211</v>
      </c>
      <c r="K647" s="307">
        <f t="shared" ca="1" si="305"/>
        <v>-2.0284403193541385</v>
      </c>
      <c r="L647" s="304">
        <f t="shared" ca="1" si="290"/>
        <v>839.71608140746969</v>
      </c>
      <c r="M647" s="306">
        <f t="shared" ca="1" si="306"/>
        <v>-1.4999224137861082</v>
      </c>
      <c r="N647" s="304">
        <f t="shared" ca="1" si="307"/>
        <v>-85.939223907019084</v>
      </c>
      <c r="P647" s="310">
        <f t="shared" ca="1" si="308"/>
        <v>23</v>
      </c>
      <c r="Q647" s="304">
        <f t="shared" ca="1" si="309"/>
        <v>0</v>
      </c>
      <c r="R647" s="306">
        <f t="shared" ca="1" si="310"/>
        <v>0</v>
      </c>
      <c r="S647" s="307">
        <f t="shared" ca="1" si="311"/>
        <v>2.9792999999999985</v>
      </c>
      <c r="T647" s="304">
        <f t="shared" ca="1" si="291"/>
        <v>29.226932999999988</v>
      </c>
      <c r="U647" s="311">
        <f t="shared" ca="1" si="292"/>
        <v>0</v>
      </c>
      <c r="V647" s="306">
        <f t="shared" ca="1" si="293"/>
        <v>1.2252485091434193</v>
      </c>
      <c r="W647" s="304">
        <f t="shared" ca="1" si="294"/>
        <v>27.449131297045806</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0.57210910079124311</v>
      </c>
      <c r="AH647" s="304">
        <f t="shared" ca="1" si="318"/>
        <v>-9.2132623873936978</v>
      </c>
    </row>
    <row r="648" spans="1:34" x14ac:dyDescent="0.2">
      <c r="A648" s="347">
        <f t="shared" ca="1" si="296"/>
        <v>1E-4</v>
      </c>
      <c r="B648" s="304">
        <f t="shared" ca="1" si="297"/>
        <v>37.014000000000685</v>
      </c>
      <c r="D648" s="306">
        <f t="shared" ca="1" si="298"/>
        <v>-0.65243482349068826</v>
      </c>
      <c r="E648" s="307">
        <f t="shared" ca="1" si="299"/>
        <v>-0.61984790862327088</v>
      </c>
      <c r="F648" s="304">
        <f t="shared" ca="1" si="300"/>
        <v>0.89993479137544641</v>
      </c>
      <c r="G648" s="306">
        <f t="shared" ca="1" si="301"/>
        <v>7.4068698940194171</v>
      </c>
      <c r="H648" s="307">
        <f t="shared" ca="1" si="302"/>
        <v>-104.33364136120682</v>
      </c>
      <c r="I648" s="304">
        <f t="shared" ca="1" si="303"/>
        <v>104.59622575081691</v>
      </c>
      <c r="J648" s="306">
        <f t="shared" ca="1" si="304"/>
        <v>839.7136314269211</v>
      </c>
      <c r="K648" s="307">
        <f t="shared" ca="1" si="305"/>
        <v>-2.0388736803910197</v>
      </c>
      <c r="L648" s="304">
        <f t="shared" ca="1" si="290"/>
        <v>839.716106675388</v>
      </c>
      <c r="M648" s="306">
        <f t="shared" ca="1" si="306"/>
        <v>-1.4999230779507617</v>
      </c>
      <c r="N648" s="304">
        <f t="shared" ca="1" si="307"/>
        <v>-85.939261960850629</v>
      </c>
      <c r="P648" s="310">
        <f t="shared" ca="1" si="308"/>
        <v>23</v>
      </c>
      <c r="Q648" s="304">
        <f t="shared" ca="1" si="309"/>
        <v>0</v>
      </c>
      <c r="R648" s="306">
        <f t="shared" ca="1" si="310"/>
        <v>0</v>
      </c>
      <c r="S648" s="307">
        <f t="shared" ca="1" si="311"/>
        <v>2.9792999999999985</v>
      </c>
      <c r="T648" s="304">
        <f t="shared" ca="1" si="291"/>
        <v>29.226932999999988</v>
      </c>
      <c r="U648" s="311">
        <f t="shared" ca="1" si="292"/>
        <v>0</v>
      </c>
      <c r="V648" s="306">
        <f t="shared" ca="1" si="293"/>
        <v>1.2252497874901049</v>
      </c>
      <c r="W648" s="304">
        <f t="shared" ca="1" si="294"/>
        <v>27.449189962446265</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0.57208987088940333</v>
      </c>
      <c r="AH648" s="304">
        <f t="shared" ca="1" si="318"/>
        <v>-9.213282078691579</v>
      </c>
    </row>
    <row r="649" spans="1:34" x14ac:dyDescent="0.2">
      <c r="A649" s="347">
        <f t="shared" ca="1" si="296"/>
        <v>1E-4</v>
      </c>
      <c r="B649" s="304">
        <f t="shared" ca="1" si="297"/>
        <v>37.014100000000688</v>
      </c>
      <c r="D649" s="306">
        <f t="shared" ca="1" si="298"/>
        <v>-0.65243011411357554</v>
      </c>
      <c r="E649" s="307">
        <f t="shared" ca="1" si="299"/>
        <v>-0.61982783373317751</v>
      </c>
      <c r="F649" s="304">
        <f t="shared" ca="1" si="300"/>
        <v>0.8999175502636988</v>
      </c>
      <c r="G649" s="306">
        <f t="shared" ca="1" si="301"/>
        <v>7.4068046510080059</v>
      </c>
      <c r="H649" s="307">
        <f t="shared" ca="1" si="302"/>
        <v>-104.33370334399019</v>
      </c>
      <c r="I649" s="304">
        <f t="shared" ca="1" si="303"/>
        <v>104.59628295790412</v>
      </c>
      <c r="J649" s="306">
        <f t="shared" ca="1" si="304"/>
        <v>839.7136314269211</v>
      </c>
      <c r="K649" s="307">
        <f t="shared" ca="1" si="305"/>
        <v>-2.0493070476262796</v>
      </c>
      <c r="L649" s="304">
        <f t="shared" ca="1" si="290"/>
        <v>839.71613207295388</v>
      </c>
      <c r="M649" s="306">
        <f t="shared" ca="1" si="306"/>
        <v>-1.4999237421088387</v>
      </c>
      <c r="N649" s="304">
        <f t="shared" ca="1" si="307"/>
        <v>-85.939300014305374</v>
      </c>
      <c r="P649" s="310">
        <f t="shared" ca="1" si="308"/>
        <v>23</v>
      </c>
      <c r="Q649" s="304">
        <f t="shared" ca="1" si="309"/>
        <v>0</v>
      </c>
      <c r="R649" s="306">
        <f t="shared" ca="1" si="310"/>
        <v>0</v>
      </c>
      <c r="S649" s="307">
        <f t="shared" ca="1" si="311"/>
        <v>2.9792999999999985</v>
      </c>
      <c r="T649" s="304">
        <f t="shared" ca="1" si="291"/>
        <v>29.226932999999988</v>
      </c>
      <c r="U649" s="311">
        <f t="shared" ca="1" si="292"/>
        <v>0</v>
      </c>
      <c r="V649" s="306">
        <f t="shared" ca="1" si="293"/>
        <v>1.2252510658388838</v>
      </c>
      <c r="W649" s="304">
        <f t="shared" ca="1" si="294"/>
        <v>27.449248626963417</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0.5720706412751646</v>
      </c>
      <c r="AH649" s="304">
        <f t="shared" ca="1" si="318"/>
        <v>-9.2133017696929738</v>
      </c>
    </row>
    <row r="650" spans="1:34" x14ac:dyDescent="0.2">
      <c r="A650" s="347">
        <f t="shared" ca="1" si="296"/>
        <v>1E-4</v>
      </c>
      <c r="B650" s="304">
        <f t="shared" ca="1" si="297"/>
        <v>37.014200000000692</v>
      </c>
      <c r="D650" s="306">
        <f t="shared" ca="1" si="298"/>
        <v>-0.65242540474952926</v>
      </c>
      <c r="E650" s="307">
        <f t="shared" ca="1" si="299"/>
        <v>-0.61980775914531172</v>
      </c>
      <c r="F650" s="304">
        <f t="shared" ca="1" si="300"/>
        <v>0.89990030951173683</v>
      </c>
      <c r="G650" s="306">
        <f t="shared" ca="1" si="301"/>
        <v>7.4067394084675309</v>
      </c>
      <c r="H650" s="307">
        <f t="shared" ca="1" si="302"/>
        <v>-104.33376532476611</v>
      </c>
      <c r="I650" s="304">
        <f t="shared" ca="1" si="303"/>
        <v>104.59634016306839</v>
      </c>
      <c r="J650" s="306">
        <f t="shared" ca="1" si="304"/>
        <v>839.7136314269211</v>
      </c>
      <c r="K650" s="307">
        <f t="shared" ca="1" si="305"/>
        <v>-2.0597404210597174</v>
      </c>
      <c r="L650" s="304">
        <f t="shared" ca="1" si="290"/>
        <v>839.71615760016743</v>
      </c>
      <c r="M650" s="306">
        <f t="shared" ca="1" si="306"/>
        <v>-1.4999244062603387</v>
      </c>
      <c r="N650" s="304">
        <f t="shared" ca="1" si="307"/>
        <v>-85.939338067383289</v>
      </c>
      <c r="P650" s="310">
        <f t="shared" ca="1" si="308"/>
        <v>23</v>
      </c>
      <c r="Q650" s="304">
        <f t="shared" ca="1" si="309"/>
        <v>0</v>
      </c>
      <c r="R650" s="306">
        <f t="shared" ca="1" si="310"/>
        <v>0</v>
      </c>
      <c r="S650" s="307">
        <f t="shared" ca="1" si="311"/>
        <v>2.9792999999999985</v>
      </c>
      <c r="T650" s="304">
        <f t="shared" ca="1" si="291"/>
        <v>29.226932999999988</v>
      </c>
      <c r="U650" s="311">
        <f t="shared" ca="1" si="292"/>
        <v>0</v>
      </c>
      <c r="V650" s="306">
        <f t="shared" ca="1" si="293"/>
        <v>1.2252523441897563</v>
      </c>
      <c r="W650" s="304">
        <f t="shared" ca="1" si="294"/>
        <v>27.449307290597265</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0.57205141194851983</v>
      </c>
      <c r="AH650" s="304">
        <f t="shared" ca="1" si="318"/>
        <v>-9.2133214603978892</v>
      </c>
    </row>
    <row r="651" spans="1:34" x14ac:dyDescent="0.2">
      <c r="A651" s="347">
        <f t="shared" ca="1" si="296"/>
        <v>1E-4</v>
      </c>
      <c r="B651" s="304">
        <f t="shared" ca="1" si="297"/>
        <v>37.014300000000695</v>
      </c>
      <c r="D651" s="306">
        <f t="shared" ca="1" si="298"/>
        <v>-0.65242069539855452</v>
      </c>
      <c r="E651" s="307">
        <f t="shared" ca="1" si="299"/>
        <v>-0.61978768485967706</v>
      </c>
      <c r="F651" s="304">
        <f t="shared" ca="1" si="300"/>
        <v>0.89988306911956717</v>
      </c>
      <c r="G651" s="306">
        <f t="shared" ca="1" si="301"/>
        <v>7.4066741663979911</v>
      </c>
      <c r="H651" s="307">
        <f t="shared" ca="1" si="302"/>
        <v>-104.33382730353459</v>
      </c>
      <c r="I651" s="304">
        <f t="shared" ca="1" si="303"/>
        <v>104.59639736630974</v>
      </c>
      <c r="J651" s="306">
        <f t="shared" ca="1" si="304"/>
        <v>839.7136314269211</v>
      </c>
      <c r="K651" s="307">
        <f t="shared" ca="1" si="305"/>
        <v>-2.0701738006911325</v>
      </c>
      <c r="L651" s="304">
        <f t="shared" ca="1" si="290"/>
        <v>839.71618325702889</v>
      </c>
      <c r="M651" s="306">
        <f t="shared" ca="1" si="306"/>
        <v>-1.4999250704052622</v>
      </c>
      <c r="N651" s="304">
        <f t="shared" ca="1" si="307"/>
        <v>-85.93937612008439</v>
      </c>
      <c r="P651" s="310">
        <f t="shared" ca="1" si="308"/>
        <v>23</v>
      </c>
      <c r="Q651" s="304">
        <f t="shared" ca="1" si="309"/>
        <v>0</v>
      </c>
      <c r="R651" s="306">
        <f t="shared" ca="1" si="310"/>
        <v>0</v>
      </c>
      <c r="S651" s="307">
        <f t="shared" ca="1" si="311"/>
        <v>2.9792999999999985</v>
      </c>
      <c r="T651" s="304">
        <f t="shared" ca="1" si="291"/>
        <v>29.226932999999988</v>
      </c>
      <c r="U651" s="311">
        <f t="shared" ca="1" si="292"/>
        <v>0</v>
      </c>
      <c r="V651" s="306">
        <f t="shared" ca="1" si="293"/>
        <v>1.2252536225427217</v>
      </c>
      <c r="W651" s="304">
        <f t="shared" ca="1" si="294"/>
        <v>27.449365953347826</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0.572032182909469</v>
      </c>
      <c r="AH651" s="304">
        <f t="shared" ca="1" si="318"/>
        <v>-9.2133411508063237</v>
      </c>
    </row>
    <row r="652" spans="1:34" x14ac:dyDescent="0.2">
      <c r="A652" s="347">
        <f t="shared" ca="1" si="296"/>
        <v>1E-4</v>
      </c>
      <c r="B652" s="304">
        <f t="shared" ca="1" si="297"/>
        <v>37.014400000000698</v>
      </c>
      <c r="D652" s="306">
        <f t="shared" ca="1" si="298"/>
        <v>-0.65241598606064843</v>
      </c>
      <c r="E652" s="307">
        <f t="shared" ca="1" si="299"/>
        <v>-0.61976761087626642</v>
      </c>
      <c r="F652" s="304">
        <f t="shared" ca="1" si="300"/>
        <v>0.89986582908718316</v>
      </c>
      <c r="G652" s="306">
        <f t="shared" ca="1" si="301"/>
        <v>7.4066089247993849</v>
      </c>
      <c r="H652" s="307">
        <f t="shared" ca="1" si="302"/>
        <v>-104.33388928029568</v>
      </c>
      <c r="I652" s="304">
        <f t="shared" ca="1" si="303"/>
        <v>104.59645456762823</v>
      </c>
      <c r="J652" s="306">
        <f t="shared" ca="1" si="304"/>
        <v>839.7136314269211</v>
      </c>
      <c r="K652" s="307">
        <f t="shared" ca="1" si="305"/>
        <v>-2.0806071865203242</v>
      </c>
      <c r="L652" s="304">
        <f t="shared" ca="1" si="290"/>
        <v>839.71620904353858</v>
      </c>
      <c r="M652" s="306">
        <f t="shared" ca="1" si="306"/>
        <v>-1.4999257345436092</v>
      </c>
      <c r="N652" s="304">
        <f t="shared" ca="1" si="307"/>
        <v>-85.939414172408675</v>
      </c>
      <c r="P652" s="310">
        <f t="shared" ca="1" si="308"/>
        <v>23</v>
      </c>
      <c r="Q652" s="304">
        <f t="shared" ca="1" si="309"/>
        <v>0</v>
      </c>
      <c r="R652" s="306">
        <f t="shared" ca="1" si="310"/>
        <v>0</v>
      </c>
      <c r="S652" s="307">
        <f t="shared" ca="1" si="311"/>
        <v>2.9792999999999985</v>
      </c>
      <c r="T652" s="304">
        <f t="shared" ca="1" si="291"/>
        <v>29.226932999999988</v>
      </c>
      <c r="U652" s="311">
        <f t="shared" ca="1" si="292"/>
        <v>0</v>
      </c>
      <c r="V652" s="306">
        <f t="shared" ca="1" si="293"/>
        <v>1.2252549008977807</v>
      </c>
      <c r="W652" s="304">
        <f t="shared" ca="1" si="294"/>
        <v>27.449424615215094</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0.57201295415801212</v>
      </c>
      <c r="AH652" s="304">
        <f t="shared" ca="1" si="318"/>
        <v>-9.2133608409182823</v>
      </c>
    </row>
    <row r="653" spans="1:34" x14ac:dyDescent="0.2">
      <c r="A653" s="347">
        <f t="shared" ca="1" si="296"/>
        <v>1E-4</v>
      </c>
      <c r="B653" s="304">
        <f t="shared" ca="1" si="297"/>
        <v>37.014500000000702</v>
      </c>
      <c r="D653" s="306">
        <f t="shared" ca="1" si="298"/>
        <v>-0.65241127673581212</v>
      </c>
      <c r="E653" s="307">
        <f t="shared" ca="1" si="299"/>
        <v>-0.61974753719507802</v>
      </c>
      <c r="F653" s="304">
        <f t="shared" ca="1" si="300"/>
        <v>0.89984858941458423</v>
      </c>
      <c r="G653" s="306">
        <f t="shared" ca="1" si="301"/>
        <v>7.4065436836717113</v>
      </c>
      <c r="H653" s="307">
        <f t="shared" ca="1" si="302"/>
        <v>-104.3339512550494</v>
      </c>
      <c r="I653" s="304">
        <f t="shared" ca="1" si="303"/>
        <v>104.59651176702387</v>
      </c>
      <c r="J653" s="306">
        <f t="shared" ca="1" si="304"/>
        <v>839.7136314269211</v>
      </c>
      <c r="K653" s="307">
        <f t="shared" ca="1" si="305"/>
        <v>-2.0910405785470916</v>
      </c>
      <c r="L653" s="304">
        <f t="shared" ca="1" si="290"/>
        <v>839.71623495969652</v>
      </c>
      <c r="M653" s="306">
        <f t="shared" ca="1" si="306"/>
        <v>-1.4999263986753799</v>
      </c>
      <c r="N653" s="304">
        <f t="shared" ca="1" si="307"/>
        <v>-85.939452224356188</v>
      </c>
      <c r="P653" s="310">
        <f t="shared" ca="1" si="308"/>
        <v>23</v>
      </c>
      <c r="Q653" s="304">
        <f t="shared" ca="1" si="309"/>
        <v>0</v>
      </c>
      <c r="R653" s="306">
        <f t="shared" ca="1" si="310"/>
        <v>0</v>
      </c>
      <c r="S653" s="307">
        <f t="shared" ca="1" si="311"/>
        <v>2.9792999999999985</v>
      </c>
      <c r="T653" s="304">
        <f t="shared" ca="1" si="291"/>
        <v>29.226932999999988</v>
      </c>
      <c r="U653" s="311">
        <f t="shared" ca="1" si="292"/>
        <v>0</v>
      </c>
      <c r="V653" s="306">
        <f t="shared" ca="1" si="293"/>
        <v>1.225256179254933</v>
      </c>
      <c r="W653" s="304">
        <f t="shared" ca="1" si="294"/>
        <v>27.449483276199107</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0.57199372569414564</v>
      </c>
      <c r="AH653" s="304">
        <f t="shared" ca="1" si="318"/>
        <v>-9.2133805307337653</v>
      </c>
    </row>
    <row r="654" spans="1:34" x14ac:dyDescent="0.2">
      <c r="A654" s="347">
        <f t="shared" ca="1" si="296"/>
        <v>1E-4</v>
      </c>
      <c r="B654" s="304">
        <f t="shared" ca="1" si="297"/>
        <v>37.014600000000705</v>
      </c>
      <c r="D654" s="306">
        <f t="shared" ca="1" si="298"/>
        <v>-0.65240656742404546</v>
      </c>
      <c r="E654" s="307">
        <f t="shared" ca="1" si="299"/>
        <v>-0.61972746381610122</v>
      </c>
      <c r="F654" s="304">
        <f t="shared" ca="1" si="300"/>
        <v>0.89983135010176363</v>
      </c>
      <c r="G654" s="306">
        <f t="shared" ca="1" si="301"/>
        <v>7.4064784430149686</v>
      </c>
      <c r="H654" s="307">
        <f t="shared" ca="1" si="302"/>
        <v>-104.33401322779578</v>
      </c>
      <c r="I654" s="304">
        <f t="shared" ca="1" si="303"/>
        <v>104.59656896449668</v>
      </c>
      <c r="J654" s="306">
        <f t="shared" ca="1" si="304"/>
        <v>839.7136314269211</v>
      </c>
      <c r="K654" s="307">
        <f t="shared" ca="1" si="305"/>
        <v>-2.101473976771234</v>
      </c>
      <c r="L654" s="304">
        <f t="shared" ca="1" si="290"/>
        <v>839.71626100550304</v>
      </c>
      <c r="M654" s="306">
        <f t="shared" ca="1" si="306"/>
        <v>-1.4999270628005741</v>
      </c>
      <c r="N654" s="304">
        <f t="shared" ca="1" si="307"/>
        <v>-85.939490275926872</v>
      </c>
      <c r="P654" s="310">
        <f t="shared" ca="1" si="308"/>
        <v>23</v>
      </c>
      <c r="Q654" s="304">
        <f t="shared" ca="1" si="309"/>
        <v>0</v>
      </c>
      <c r="R654" s="306">
        <f t="shared" ca="1" si="310"/>
        <v>0</v>
      </c>
      <c r="S654" s="307">
        <f t="shared" ca="1" si="311"/>
        <v>2.9792999999999985</v>
      </c>
      <c r="T654" s="304">
        <f t="shared" ca="1" si="291"/>
        <v>29.226932999999988</v>
      </c>
      <c r="U654" s="311">
        <f t="shared" ca="1" si="292"/>
        <v>0</v>
      </c>
      <c r="V654" s="306">
        <f t="shared" ca="1" si="293"/>
        <v>1.2252574576141784</v>
      </c>
      <c r="W654" s="304">
        <f t="shared" ca="1" si="294"/>
        <v>27.449541936299845</v>
      </c>
      <c r="Y654" s="314" t="str">
        <f t="shared" ca="1" si="312"/>
        <v/>
      </c>
      <c r="Z654" s="315" t="str">
        <f t="shared" ca="1" si="313"/>
        <v/>
      </c>
      <c r="AA654" s="316" t="str">
        <f t="shared" ca="1" si="314"/>
        <v/>
      </c>
      <c r="AC654" s="310" t="e">
        <f t="shared" ca="1" si="315"/>
        <v>#N/A</v>
      </c>
      <c r="AD654" s="323" t="e">
        <f t="shared" ca="1" si="316"/>
        <v>#N/A</v>
      </c>
      <c r="AE654" s="324" t="e">
        <f t="shared" ca="1" si="295"/>
        <v>#N/A</v>
      </c>
      <c r="AG654" s="306">
        <f t="shared" ca="1" si="317"/>
        <v>0.57197449751785712</v>
      </c>
      <c r="AH654" s="304">
        <f t="shared" ca="1" si="318"/>
        <v>-9.2134002202527849</v>
      </c>
    </row>
    <row r="655" spans="1:34" x14ac:dyDescent="0.2">
      <c r="A655" s="347">
        <f t="shared" ca="1" si="296"/>
        <v>1E-4</v>
      </c>
      <c r="B655" s="304">
        <f t="shared" ca="1" si="297"/>
        <v>37.014700000000708</v>
      </c>
      <c r="D655" s="306">
        <f t="shared" ca="1" si="298"/>
        <v>-0.65240185812535068</v>
      </c>
      <c r="E655" s="307">
        <f t="shared" ca="1" si="299"/>
        <v>-0.61970739073934489</v>
      </c>
      <c r="F655" s="304">
        <f t="shared" ca="1" si="300"/>
        <v>0.899814111148729</v>
      </c>
      <c r="G655" s="306">
        <f t="shared" ca="1" si="301"/>
        <v>7.4064132028291558</v>
      </c>
      <c r="H655" s="307">
        <f t="shared" ca="1" si="302"/>
        <v>-104.33407519853485</v>
      </c>
      <c r="I655" s="304">
        <f t="shared" ca="1" si="303"/>
        <v>104.59662616004671</v>
      </c>
      <c r="J655" s="306">
        <f t="shared" ca="1" si="304"/>
        <v>839.7136314269211</v>
      </c>
      <c r="K655" s="307">
        <f t="shared" ca="1" si="305"/>
        <v>-2.1119073811925504</v>
      </c>
      <c r="L655" s="304">
        <f t="shared" ca="1" si="290"/>
        <v>839.71628718095837</v>
      </c>
      <c r="M655" s="306">
        <f t="shared" ca="1" si="306"/>
        <v>-1.499927726919192</v>
      </c>
      <c r="N655" s="304">
        <f t="shared" ca="1" si="307"/>
        <v>-85.939528327120769</v>
      </c>
      <c r="P655" s="310">
        <f t="shared" ca="1" si="308"/>
        <v>23</v>
      </c>
      <c r="Q655" s="304">
        <f t="shared" ca="1" si="309"/>
        <v>0</v>
      </c>
      <c r="R655" s="306">
        <f t="shared" ca="1" si="310"/>
        <v>0</v>
      </c>
      <c r="S655" s="307">
        <f t="shared" ca="1" si="311"/>
        <v>2.9792999999999985</v>
      </c>
      <c r="T655" s="304">
        <f t="shared" ca="1" si="291"/>
        <v>29.226932999999988</v>
      </c>
      <c r="U655" s="311">
        <f t="shared" ca="1" si="292"/>
        <v>0</v>
      </c>
      <c r="V655" s="306">
        <f t="shared" ca="1" si="293"/>
        <v>1.2252587359755172</v>
      </c>
      <c r="W655" s="304">
        <f t="shared" ca="1" si="294"/>
        <v>27.449600595517342</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0.57195526962915721</v>
      </c>
      <c r="AH655" s="304">
        <f t="shared" ca="1" si="318"/>
        <v>-9.2134199094753324</v>
      </c>
    </row>
    <row r="656" spans="1:34" x14ac:dyDescent="0.2">
      <c r="A656" s="347">
        <f t="shared" ca="1" si="296"/>
        <v>1E-4</v>
      </c>
      <c r="B656" s="304">
        <f t="shared" ca="1" si="297"/>
        <v>37.014800000000712</v>
      </c>
      <c r="D656" s="306">
        <f t="shared" ca="1" si="298"/>
        <v>-0.65239714883972777</v>
      </c>
      <c r="E656" s="307">
        <f t="shared" ca="1" si="299"/>
        <v>-0.61968731796479481</v>
      </c>
      <c r="F656" s="304">
        <f t="shared" ca="1" si="300"/>
        <v>0.89979687255547114</v>
      </c>
      <c r="G656" s="306">
        <f t="shared" ca="1" si="301"/>
        <v>7.4063479631142721</v>
      </c>
      <c r="H656" s="307">
        <f t="shared" ca="1" si="302"/>
        <v>-104.33413716726665</v>
      </c>
      <c r="I656" s="304">
        <f t="shared" ca="1" si="303"/>
        <v>104.59668335367398</v>
      </c>
      <c r="J656" s="306">
        <f t="shared" ca="1" si="304"/>
        <v>839.7136314269211</v>
      </c>
      <c r="K656" s="307">
        <f t="shared" ca="1" si="305"/>
        <v>-2.1223407918108403</v>
      </c>
      <c r="L656" s="304">
        <f t="shared" ca="1" si="290"/>
        <v>839.71631348606275</v>
      </c>
      <c r="M656" s="306">
        <f t="shared" ca="1" si="306"/>
        <v>-1.4999283910312338</v>
      </c>
      <c r="N656" s="304">
        <f t="shared" ca="1" si="307"/>
        <v>-85.939566377937894</v>
      </c>
      <c r="P656" s="310">
        <f t="shared" ca="1" si="308"/>
        <v>23</v>
      </c>
      <c r="Q656" s="304">
        <f t="shared" ca="1" si="309"/>
        <v>0</v>
      </c>
      <c r="R656" s="306">
        <f t="shared" ca="1" si="310"/>
        <v>0</v>
      </c>
      <c r="S656" s="307">
        <f t="shared" ca="1" si="311"/>
        <v>2.9792999999999985</v>
      </c>
      <c r="T656" s="304">
        <f t="shared" ca="1" si="291"/>
        <v>29.226932999999988</v>
      </c>
      <c r="U656" s="311">
        <f t="shared" ca="1" si="292"/>
        <v>0</v>
      </c>
      <c r="V656" s="306">
        <f t="shared" ca="1" si="293"/>
        <v>1.2252600143389489</v>
      </c>
      <c r="W656" s="304">
        <f t="shared" ca="1" si="294"/>
        <v>27.449659253851593</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0.57193604202802995</v>
      </c>
      <c r="AH656" s="304">
        <f t="shared" ca="1" si="318"/>
        <v>-9.2134395984014219</v>
      </c>
    </row>
    <row r="657" spans="1:34" x14ac:dyDescent="0.2">
      <c r="A657" s="347">
        <f t="shared" ca="1" si="296"/>
        <v>1E-4</v>
      </c>
      <c r="B657" s="304">
        <f t="shared" ca="1" si="297"/>
        <v>37.014900000000715</v>
      </c>
      <c r="D657" s="306">
        <f t="shared" ca="1" si="298"/>
        <v>-0.65239243956717552</v>
      </c>
      <c r="E657" s="307">
        <f t="shared" ca="1" si="299"/>
        <v>-0.61966724549245278</v>
      </c>
      <c r="F657" s="304">
        <f t="shared" ca="1" si="300"/>
        <v>0.89977963432199026</v>
      </c>
      <c r="G657" s="306">
        <f t="shared" ca="1" si="301"/>
        <v>7.4062827238703157</v>
      </c>
      <c r="H657" s="307">
        <f t="shared" ca="1" si="302"/>
        <v>-104.33419913399119</v>
      </c>
      <c r="I657" s="304">
        <f t="shared" ca="1" si="303"/>
        <v>104.59674054537851</v>
      </c>
      <c r="J657" s="306">
        <f t="shared" ca="1" si="304"/>
        <v>839.7136314269211</v>
      </c>
      <c r="K657" s="307">
        <f t="shared" ca="1" si="305"/>
        <v>-2.1327742086259032</v>
      </c>
      <c r="L657" s="304">
        <f t="shared" ca="1" si="290"/>
        <v>839.71633992081649</v>
      </c>
      <c r="M657" s="306">
        <f t="shared" ca="1" si="306"/>
        <v>-1.4999290551366995</v>
      </c>
      <c r="N657" s="304">
        <f t="shared" ca="1" si="307"/>
        <v>-85.939604428378232</v>
      </c>
      <c r="P657" s="310">
        <f t="shared" ca="1" si="308"/>
        <v>23</v>
      </c>
      <c r="Q657" s="304">
        <f t="shared" ca="1" si="309"/>
        <v>0</v>
      </c>
      <c r="R657" s="306">
        <f t="shared" ca="1" si="310"/>
        <v>0</v>
      </c>
      <c r="S657" s="307">
        <f t="shared" ca="1" si="311"/>
        <v>2.9792999999999985</v>
      </c>
      <c r="T657" s="304">
        <f t="shared" ca="1" si="291"/>
        <v>29.226932999999988</v>
      </c>
      <c r="U657" s="311">
        <f t="shared" ca="1" si="292"/>
        <v>0</v>
      </c>
      <c r="V657" s="306">
        <f t="shared" ca="1" si="293"/>
        <v>1.2252612927044737</v>
      </c>
      <c r="W657" s="304">
        <f t="shared" ca="1" si="294"/>
        <v>27.449717911302596</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0.57191681471448064</v>
      </c>
      <c r="AH657" s="304">
        <f t="shared" ca="1" si="318"/>
        <v>-9.2134592870310499</v>
      </c>
    </row>
    <row r="658" spans="1:34" x14ac:dyDescent="0.2">
      <c r="A658" s="347">
        <f t="shared" ca="1" si="296"/>
        <v>1E-4</v>
      </c>
      <c r="B658" s="304">
        <f t="shared" ca="1" si="297"/>
        <v>37.015000000000718</v>
      </c>
      <c r="D658" s="306">
        <f t="shared" ca="1" si="298"/>
        <v>-0.65238773030769481</v>
      </c>
      <c r="E658" s="307">
        <f t="shared" ca="1" si="299"/>
        <v>-0.61964717332232055</v>
      </c>
      <c r="F658" s="304">
        <f t="shared" ca="1" si="300"/>
        <v>0.8997623964482887</v>
      </c>
      <c r="G658" s="306">
        <f t="shared" ca="1" si="301"/>
        <v>7.4062174850972848</v>
      </c>
      <c r="H658" s="307">
        <f t="shared" ca="1" si="302"/>
        <v>-104.33426109870852</v>
      </c>
      <c r="I658" s="304">
        <f t="shared" ca="1" si="303"/>
        <v>104.59679773516035</v>
      </c>
      <c r="J658" s="306">
        <f t="shared" ca="1" si="304"/>
        <v>839.7136314269211</v>
      </c>
      <c r="K658" s="307">
        <f t="shared" ca="1" si="305"/>
        <v>-2.1432076316375381</v>
      </c>
      <c r="L658" s="304">
        <f t="shared" ca="1" si="290"/>
        <v>839.71636648521951</v>
      </c>
      <c r="M658" s="306">
        <f t="shared" ca="1" si="306"/>
        <v>-1.4999297192355889</v>
      </c>
      <c r="N658" s="304">
        <f t="shared" ca="1" si="307"/>
        <v>-85.939642478441783</v>
      </c>
      <c r="P658" s="310">
        <f t="shared" ca="1" si="308"/>
        <v>23</v>
      </c>
      <c r="Q658" s="304">
        <f t="shared" ca="1" si="309"/>
        <v>0</v>
      </c>
      <c r="R658" s="306">
        <f t="shared" ca="1" si="310"/>
        <v>0</v>
      </c>
      <c r="S658" s="307">
        <f t="shared" ca="1" si="311"/>
        <v>2.9792999999999985</v>
      </c>
      <c r="T658" s="304">
        <f t="shared" ca="1" si="291"/>
        <v>29.226932999999988</v>
      </c>
      <c r="U658" s="311">
        <f t="shared" ca="1" si="292"/>
        <v>0</v>
      </c>
      <c r="V658" s="306">
        <f t="shared" ca="1" si="293"/>
        <v>1.2252625710720919</v>
      </c>
      <c r="W658" s="304">
        <f t="shared" ca="1" si="294"/>
        <v>27.449776567870401</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0.57189758768850929</v>
      </c>
      <c r="AH658" s="304">
        <f t="shared" ca="1" si="318"/>
        <v>-9.2134789753642163</v>
      </c>
    </row>
    <row r="659" spans="1:34" x14ac:dyDescent="0.2">
      <c r="A659" s="347">
        <f t="shared" ca="1" si="296"/>
        <v>1E-4</v>
      </c>
      <c r="B659" s="304">
        <f t="shared" ca="1" si="297"/>
        <v>37.015100000000722</v>
      </c>
      <c r="D659" s="306">
        <f t="shared" ca="1" si="298"/>
        <v>-0.65238302106128998</v>
      </c>
      <c r="E659" s="307">
        <f t="shared" ca="1" si="299"/>
        <v>-0.61962710145438038</v>
      </c>
      <c r="F659" s="304">
        <f t="shared" ca="1" si="300"/>
        <v>0.89974515893435769</v>
      </c>
      <c r="G659" s="306">
        <f t="shared" ca="1" si="301"/>
        <v>7.4061522467951786</v>
      </c>
      <c r="H659" s="307">
        <f t="shared" ca="1" si="302"/>
        <v>-104.33432306141867</v>
      </c>
      <c r="I659" s="304">
        <f t="shared" ca="1" si="303"/>
        <v>104.59685492301951</v>
      </c>
      <c r="J659" s="306">
        <f t="shared" ca="1" si="304"/>
        <v>839.7136314269211</v>
      </c>
      <c r="K659" s="307">
        <f t="shared" ca="1" si="305"/>
        <v>-2.1536410608455445</v>
      </c>
      <c r="L659" s="304">
        <f t="shared" ca="1" si="290"/>
        <v>839.71639317927213</v>
      </c>
      <c r="M659" s="306">
        <f t="shared" ca="1" si="306"/>
        <v>-1.4999303833279027</v>
      </c>
      <c r="N659" s="304">
        <f t="shared" ca="1" si="307"/>
        <v>-85.939680528128562</v>
      </c>
      <c r="P659" s="310">
        <f t="shared" ca="1" si="308"/>
        <v>23</v>
      </c>
      <c r="Q659" s="304">
        <f t="shared" ca="1" si="309"/>
        <v>0</v>
      </c>
      <c r="R659" s="306">
        <f t="shared" ca="1" si="310"/>
        <v>0</v>
      </c>
      <c r="S659" s="307">
        <f t="shared" ca="1" si="311"/>
        <v>2.9792999999999985</v>
      </c>
      <c r="T659" s="304">
        <f t="shared" ca="1" si="291"/>
        <v>29.226932999999988</v>
      </c>
      <c r="U659" s="311">
        <f t="shared" ca="1" si="292"/>
        <v>0</v>
      </c>
      <c r="V659" s="306">
        <f t="shared" ca="1" si="293"/>
        <v>1.2252638494418033</v>
      </c>
      <c r="W659" s="304">
        <f t="shared" ca="1" si="294"/>
        <v>27.449835223554992</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0.57187836095009992</v>
      </c>
      <c r="AH659" s="304">
        <f t="shared" ca="1" si="318"/>
        <v>-9.213498663400939</v>
      </c>
    </row>
    <row r="660" spans="1:34" x14ac:dyDescent="0.2">
      <c r="A660" s="347">
        <f t="shared" ca="1" si="296"/>
        <v>1E-4</v>
      </c>
      <c r="B660" s="304">
        <f t="shared" ca="1" si="297"/>
        <v>37.015200000000725</v>
      </c>
      <c r="D660" s="306">
        <f t="shared" ca="1" si="298"/>
        <v>-0.65237831182795525</v>
      </c>
      <c r="E660" s="307">
        <f t="shared" ca="1" si="299"/>
        <v>-0.61960702988863936</v>
      </c>
      <c r="F660" s="304">
        <f t="shared" ca="1" si="300"/>
        <v>0.899727921780198</v>
      </c>
      <c r="G660" s="306">
        <f t="shared" ca="1" si="301"/>
        <v>7.4060870089639961</v>
      </c>
      <c r="H660" s="307">
        <f t="shared" ca="1" si="302"/>
        <v>-104.33438502212167</v>
      </c>
      <c r="I660" s="304">
        <f t="shared" ca="1" si="303"/>
        <v>104.59691210895602</v>
      </c>
      <c r="J660" s="306">
        <f t="shared" ca="1" si="304"/>
        <v>839.7136314269211</v>
      </c>
      <c r="K660" s="307">
        <f t="shared" ca="1" si="305"/>
        <v>-2.1640744962497216</v>
      </c>
      <c r="L660" s="304">
        <f t="shared" ca="1" si="290"/>
        <v>839.71642000297481</v>
      </c>
      <c r="M660" s="306">
        <f t="shared" ca="1" si="306"/>
        <v>-1.4999310474136405</v>
      </c>
      <c r="N660" s="304">
        <f t="shared" ca="1" si="307"/>
        <v>-85.939718577438569</v>
      </c>
      <c r="P660" s="310">
        <f t="shared" ca="1" si="308"/>
        <v>23</v>
      </c>
      <c r="Q660" s="304">
        <f t="shared" ca="1" si="309"/>
        <v>0</v>
      </c>
      <c r="R660" s="306">
        <f t="shared" ca="1" si="310"/>
        <v>0</v>
      </c>
      <c r="S660" s="307">
        <f t="shared" ca="1" si="311"/>
        <v>2.9792999999999985</v>
      </c>
      <c r="T660" s="304">
        <f t="shared" ca="1" si="291"/>
        <v>29.226932999999988</v>
      </c>
      <c r="U660" s="311">
        <f t="shared" ca="1" si="292"/>
        <v>0</v>
      </c>
      <c r="V660" s="306">
        <f t="shared" ca="1" si="293"/>
        <v>1.2252651278136075</v>
      </c>
      <c r="W660" s="304">
        <f t="shared" ca="1" si="294"/>
        <v>27.44989387835637</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0.57185913449925785</v>
      </c>
      <c r="AH660" s="304">
        <f t="shared" ca="1" si="318"/>
        <v>-9.2135183511412091</v>
      </c>
    </row>
    <row r="661" spans="1:34" x14ac:dyDescent="0.2">
      <c r="A661" s="347">
        <f t="shared" ca="1" si="296"/>
        <v>1E-4</v>
      </c>
      <c r="B661" s="304">
        <f t="shared" ca="1" si="297"/>
        <v>37.015300000000728</v>
      </c>
      <c r="D661" s="306">
        <f t="shared" ca="1" si="298"/>
        <v>-0.65237360260769617</v>
      </c>
      <c r="E661" s="307">
        <f t="shared" ca="1" si="299"/>
        <v>-0.61958695862509394</v>
      </c>
      <c r="F661" s="304">
        <f t="shared" ca="1" si="300"/>
        <v>0.89971068498581153</v>
      </c>
      <c r="G661" s="306">
        <f t="shared" ca="1" si="301"/>
        <v>7.4060217716037355</v>
      </c>
      <c r="H661" s="307">
        <f t="shared" ca="1" si="302"/>
        <v>-104.33444698081753</v>
      </c>
      <c r="I661" s="304">
        <f t="shared" ca="1" si="303"/>
        <v>104.59696929296992</v>
      </c>
      <c r="J661" s="306">
        <f t="shared" ca="1" si="304"/>
        <v>839.7136314269211</v>
      </c>
      <c r="K661" s="307">
        <f t="shared" ca="1" si="305"/>
        <v>-2.1745079378498686</v>
      </c>
      <c r="L661" s="304">
        <f t="shared" ca="1" si="290"/>
        <v>839.71644695632756</v>
      </c>
      <c r="M661" s="306">
        <f t="shared" ca="1" si="306"/>
        <v>-1.4999317114928024</v>
      </c>
      <c r="N661" s="304">
        <f t="shared" ca="1" si="307"/>
        <v>-85.939756626371818</v>
      </c>
      <c r="P661" s="310">
        <f t="shared" ca="1" si="308"/>
        <v>23</v>
      </c>
      <c r="Q661" s="304">
        <f t="shared" ca="1" si="309"/>
        <v>0</v>
      </c>
      <c r="R661" s="306">
        <f t="shared" ca="1" si="310"/>
        <v>0</v>
      </c>
      <c r="S661" s="307">
        <f t="shared" ca="1" si="311"/>
        <v>2.9792999999999985</v>
      </c>
      <c r="T661" s="304">
        <f t="shared" ca="1" si="291"/>
        <v>29.226932999999988</v>
      </c>
      <c r="U661" s="311">
        <f t="shared" ca="1" si="292"/>
        <v>0</v>
      </c>
      <c r="V661" s="306">
        <f t="shared" ca="1" si="293"/>
        <v>1.2252664061875049</v>
      </c>
      <c r="W661" s="304">
        <f t="shared" ca="1" si="294"/>
        <v>27.449952532274562</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0.57183990833598131</v>
      </c>
      <c r="AH661" s="304">
        <f t="shared" ca="1" si="318"/>
        <v>-9.2135380385850318</v>
      </c>
    </row>
    <row r="662" spans="1:34" x14ac:dyDescent="0.2">
      <c r="A662" s="347">
        <f t="shared" ca="1" si="296"/>
        <v>1E-4</v>
      </c>
      <c r="B662" s="304">
        <f t="shared" ca="1" si="297"/>
        <v>37.015400000000731</v>
      </c>
      <c r="D662" s="306">
        <f t="shared" ca="1" si="298"/>
        <v>-0.65236889340051185</v>
      </c>
      <c r="E662" s="307">
        <f t="shared" ca="1" si="299"/>
        <v>-0.61956688766373702</v>
      </c>
      <c r="F662" s="304">
        <f t="shared" ca="1" si="300"/>
        <v>0.89969344855119304</v>
      </c>
      <c r="G662" s="306">
        <f t="shared" ca="1" si="301"/>
        <v>7.4059565347143952</v>
      </c>
      <c r="H662" s="307">
        <f t="shared" ca="1" si="302"/>
        <v>-104.3345089375063</v>
      </c>
      <c r="I662" s="304">
        <f t="shared" ca="1" si="303"/>
        <v>104.59702647506123</v>
      </c>
      <c r="J662" s="306">
        <f t="shared" ca="1" si="304"/>
        <v>839.7136314269211</v>
      </c>
      <c r="K662" s="307">
        <f t="shared" ca="1" si="305"/>
        <v>-2.1849413856457849</v>
      </c>
      <c r="L662" s="304">
        <f t="shared" ca="1" si="290"/>
        <v>839.71647403933071</v>
      </c>
      <c r="M662" s="306">
        <f t="shared" ca="1" si="306"/>
        <v>-1.4999323755653886</v>
      </c>
      <c r="N662" s="304">
        <f t="shared" ca="1" si="307"/>
        <v>-85.939794674928294</v>
      </c>
      <c r="P662" s="310">
        <f t="shared" ca="1" si="308"/>
        <v>23</v>
      </c>
      <c r="Q662" s="304">
        <f t="shared" ca="1" si="309"/>
        <v>0</v>
      </c>
      <c r="R662" s="306">
        <f t="shared" ca="1" si="310"/>
        <v>0</v>
      </c>
      <c r="S662" s="307">
        <f t="shared" ca="1" si="311"/>
        <v>2.9792999999999985</v>
      </c>
      <c r="T662" s="304">
        <f t="shared" ca="1" si="291"/>
        <v>29.226932999999988</v>
      </c>
      <c r="U662" s="311">
        <f t="shared" ca="1" si="292"/>
        <v>0</v>
      </c>
      <c r="V662" s="306">
        <f t="shared" ca="1" si="293"/>
        <v>1.225267684563496</v>
      </c>
      <c r="W662" s="304">
        <f t="shared" ca="1" si="294"/>
        <v>27.450011185309592</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0.57182068246026141</v>
      </c>
      <c r="AH662" s="304">
        <f t="shared" ca="1" si="318"/>
        <v>-9.2135577257324126</v>
      </c>
    </row>
    <row r="663" spans="1:34" x14ac:dyDescent="0.2">
      <c r="A663" s="347">
        <f t="shared" ca="1" si="296"/>
        <v>1E-4</v>
      </c>
      <c r="B663" s="304">
        <f t="shared" ca="1" si="297"/>
        <v>37.015500000000735</v>
      </c>
      <c r="D663" s="306">
        <f t="shared" ca="1" si="298"/>
        <v>-0.65236418420640196</v>
      </c>
      <c r="E663" s="307">
        <f t="shared" ca="1" si="299"/>
        <v>-0.61954681700456149</v>
      </c>
      <c r="F663" s="304">
        <f t="shared" ca="1" si="300"/>
        <v>0.89967621247633744</v>
      </c>
      <c r="G663" s="306">
        <f t="shared" ca="1" si="301"/>
        <v>7.4058912982959741</v>
      </c>
      <c r="H663" s="307">
        <f t="shared" ca="1" si="302"/>
        <v>-104.334570892188</v>
      </c>
      <c r="I663" s="304">
        <f t="shared" ca="1" si="303"/>
        <v>104.59708365522998</v>
      </c>
      <c r="J663" s="306">
        <f t="shared" ca="1" si="304"/>
        <v>839.7136314269211</v>
      </c>
      <c r="K663" s="307">
        <f t="shared" ca="1" si="305"/>
        <v>-2.1953748396372696</v>
      </c>
      <c r="L663" s="304">
        <f t="shared" ca="1" si="290"/>
        <v>839.71650125198425</v>
      </c>
      <c r="M663" s="306">
        <f t="shared" ca="1" si="306"/>
        <v>-1.4999330396313992</v>
      </c>
      <c r="N663" s="304">
        <f t="shared" ca="1" si="307"/>
        <v>-85.939832723108026</v>
      </c>
      <c r="P663" s="310">
        <f t="shared" ca="1" si="308"/>
        <v>23</v>
      </c>
      <c r="Q663" s="304">
        <f t="shared" ca="1" si="309"/>
        <v>0</v>
      </c>
      <c r="R663" s="306">
        <f t="shared" ca="1" si="310"/>
        <v>0</v>
      </c>
      <c r="S663" s="307">
        <f t="shared" ca="1" si="311"/>
        <v>2.9792999999999985</v>
      </c>
      <c r="T663" s="304">
        <f t="shared" ca="1" si="291"/>
        <v>29.226932999999988</v>
      </c>
      <c r="U663" s="311">
        <f t="shared" ca="1" si="292"/>
        <v>0</v>
      </c>
      <c r="V663" s="306">
        <f t="shared" ca="1" si="293"/>
        <v>1.2252689629415794</v>
      </c>
      <c r="W663" s="304">
        <f t="shared" ca="1" si="294"/>
        <v>27.450069837461427</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0.5718014568720946</v>
      </c>
      <c r="AH663" s="304">
        <f t="shared" ca="1" si="318"/>
        <v>-9.2135774125833603</v>
      </c>
    </row>
    <row r="664" spans="1:34" x14ac:dyDescent="0.2">
      <c r="A664" s="347">
        <f t="shared" ca="1" si="296"/>
        <v>1E-4</v>
      </c>
      <c r="B664" s="304">
        <f t="shared" ca="1" si="297"/>
        <v>37.015600000000738</v>
      </c>
      <c r="D664" s="306">
        <f t="shared" ca="1" si="298"/>
        <v>-0.65235947502536684</v>
      </c>
      <c r="E664" s="307">
        <f t="shared" ca="1" si="299"/>
        <v>-0.61952674664757623</v>
      </c>
      <c r="F664" s="304">
        <f t="shared" ca="1" si="300"/>
        <v>0.89965897676125162</v>
      </c>
      <c r="G664" s="306">
        <f t="shared" ca="1" si="301"/>
        <v>7.4058260623484715</v>
      </c>
      <c r="H664" s="307">
        <f t="shared" ca="1" si="302"/>
        <v>-104.33463284486267</v>
      </c>
      <c r="I664" s="304">
        <f t="shared" ca="1" si="303"/>
        <v>104.5971408334762</v>
      </c>
      <c r="J664" s="306">
        <f t="shared" ca="1" si="304"/>
        <v>839.7136314269211</v>
      </c>
      <c r="K664" s="307">
        <f t="shared" ca="1" si="305"/>
        <v>-2.2058082998241222</v>
      </c>
      <c r="L664" s="304">
        <f t="shared" ca="1" si="290"/>
        <v>839.71652859428855</v>
      </c>
      <c r="M664" s="306">
        <f t="shared" ca="1" si="306"/>
        <v>-1.4999337036908345</v>
      </c>
      <c r="N664" s="304">
        <f t="shared" ca="1" si="307"/>
        <v>-85.939870770911</v>
      </c>
      <c r="P664" s="310">
        <f t="shared" ca="1" si="308"/>
        <v>23</v>
      </c>
      <c r="Q664" s="304">
        <f t="shared" ca="1" si="309"/>
        <v>0</v>
      </c>
      <c r="R664" s="306">
        <f t="shared" ca="1" si="310"/>
        <v>0</v>
      </c>
      <c r="S664" s="307">
        <f t="shared" ca="1" si="311"/>
        <v>2.9792999999999985</v>
      </c>
      <c r="T664" s="304">
        <f t="shared" ca="1" si="291"/>
        <v>29.226932999999988</v>
      </c>
      <c r="U664" s="311">
        <f t="shared" ca="1" si="292"/>
        <v>0</v>
      </c>
      <c r="V664" s="306">
        <f t="shared" ca="1" si="293"/>
        <v>1.225270241321756</v>
      </c>
      <c r="W664" s="304">
        <f t="shared" ca="1" si="294"/>
        <v>27.450128488730112</v>
      </c>
      <c r="Y664" s="314" t="str">
        <f t="shared" ca="1" si="312"/>
        <v/>
      </c>
      <c r="Z664" s="315" t="str">
        <f t="shared" ca="1" si="313"/>
        <v/>
      </c>
      <c r="AA664" s="316" t="str">
        <f t="shared" ca="1" si="314"/>
        <v/>
      </c>
      <c r="AC664" s="310" t="e">
        <f t="shared" ca="1" si="315"/>
        <v>#N/A</v>
      </c>
      <c r="AD664" s="323" t="e">
        <f t="shared" ca="1" si="316"/>
        <v>#N/A</v>
      </c>
      <c r="AE664" s="324" t="e">
        <f t="shared" ca="1" si="295"/>
        <v>#N/A</v>
      </c>
      <c r="AG664" s="306">
        <f t="shared" ca="1" si="317"/>
        <v>0.57178223157148622</v>
      </c>
      <c r="AH664" s="304">
        <f t="shared" ca="1" si="318"/>
        <v>-9.2135970991378642</v>
      </c>
    </row>
    <row r="665" spans="1:34" x14ac:dyDescent="0.2">
      <c r="A665" s="347">
        <f t="shared" ca="1" si="296"/>
        <v>1E-4</v>
      </c>
      <c r="B665" s="304">
        <f t="shared" ca="1" si="297"/>
        <v>37.015700000000741</v>
      </c>
      <c r="D665" s="306">
        <f t="shared" ca="1" si="298"/>
        <v>-0.65235476585740637</v>
      </c>
      <c r="E665" s="307">
        <f t="shared" ca="1" si="299"/>
        <v>-0.61950667659276526</v>
      </c>
      <c r="F665" s="304">
        <f t="shared" ca="1" si="300"/>
        <v>0.89964174140592468</v>
      </c>
      <c r="G665" s="306">
        <f t="shared" ca="1" si="301"/>
        <v>7.4057608268718855</v>
      </c>
      <c r="H665" s="307">
        <f t="shared" ca="1" si="302"/>
        <v>-104.33469479553032</v>
      </c>
      <c r="I665" s="304">
        <f t="shared" ca="1" si="303"/>
        <v>104.59719800979992</v>
      </c>
      <c r="J665" s="306">
        <f t="shared" ca="1" si="304"/>
        <v>839.7136314269211</v>
      </c>
      <c r="K665" s="307">
        <f t="shared" ca="1" si="305"/>
        <v>-2.2162417662061418</v>
      </c>
      <c r="L665" s="304">
        <f t="shared" ca="1" si="290"/>
        <v>839.71655606624392</v>
      </c>
      <c r="M665" s="306">
        <f t="shared" ca="1" si="306"/>
        <v>-1.499934367743694</v>
      </c>
      <c r="N665" s="304">
        <f t="shared" ca="1" si="307"/>
        <v>-85.93990881833723</v>
      </c>
      <c r="P665" s="310">
        <f t="shared" ca="1" si="308"/>
        <v>23</v>
      </c>
      <c r="Q665" s="304">
        <f t="shared" ca="1" si="309"/>
        <v>0</v>
      </c>
      <c r="R665" s="306">
        <f t="shared" ca="1" si="310"/>
        <v>0</v>
      </c>
      <c r="S665" s="307">
        <f t="shared" ca="1" si="311"/>
        <v>2.9792999999999985</v>
      </c>
      <c r="T665" s="304">
        <f t="shared" ca="1" si="291"/>
        <v>29.226932999999988</v>
      </c>
      <c r="U665" s="311">
        <f t="shared" ca="1" si="292"/>
        <v>0</v>
      </c>
      <c r="V665" s="306">
        <f t="shared" ca="1" si="293"/>
        <v>1.2252715197040258</v>
      </c>
      <c r="W665" s="304">
        <f t="shared" ca="1" si="294"/>
        <v>27.450187139115645</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0.5717630065584256</v>
      </c>
      <c r="AH665" s="304">
        <f t="shared" ca="1" si="318"/>
        <v>-9.2136167853959403</v>
      </c>
    </row>
    <row r="666" spans="1:34" x14ac:dyDescent="0.2">
      <c r="A666" s="347">
        <f t="shared" ca="1" si="296"/>
        <v>1E-4</v>
      </c>
      <c r="B666" s="304">
        <f t="shared" ca="1" si="297"/>
        <v>37.015800000000745</v>
      </c>
      <c r="D666" s="306">
        <f t="shared" ca="1" si="298"/>
        <v>-0.65235005670252366</v>
      </c>
      <c r="E666" s="307">
        <f t="shared" ca="1" si="299"/>
        <v>-0.6194866068401339</v>
      </c>
      <c r="F666" s="304">
        <f t="shared" ca="1" si="300"/>
        <v>0.89962450641036251</v>
      </c>
      <c r="G666" s="306">
        <f t="shared" ca="1" si="301"/>
        <v>7.4056955918662153</v>
      </c>
      <c r="H666" s="307">
        <f t="shared" ca="1" si="302"/>
        <v>-104.33475674419101</v>
      </c>
      <c r="I666" s="304">
        <f t="shared" ca="1" si="303"/>
        <v>104.59725518420117</v>
      </c>
      <c r="J666" s="306">
        <f t="shared" ca="1" si="304"/>
        <v>839.7136314269211</v>
      </c>
      <c r="K666" s="307">
        <f t="shared" ca="1" si="305"/>
        <v>-2.2266752387831277</v>
      </c>
      <c r="L666" s="304">
        <f t="shared" ca="1" si="290"/>
        <v>839.7165836678505</v>
      </c>
      <c r="M666" s="306">
        <f t="shared" ca="1" si="306"/>
        <v>-1.4999350317899782</v>
      </c>
      <c r="N666" s="304">
        <f t="shared" ca="1" si="307"/>
        <v>-85.939946865386716</v>
      </c>
      <c r="P666" s="310">
        <f t="shared" ca="1" si="308"/>
        <v>23</v>
      </c>
      <c r="Q666" s="304">
        <f t="shared" ca="1" si="309"/>
        <v>0</v>
      </c>
      <c r="R666" s="306">
        <f t="shared" ca="1" si="310"/>
        <v>0</v>
      </c>
      <c r="S666" s="307">
        <f t="shared" ca="1" si="311"/>
        <v>2.9792999999999985</v>
      </c>
      <c r="T666" s="304">
        <f t="shared" ca="1" si="291"/>
        <v>29.226932999999988</v>
      </c>
      <c r="U666" s="311">
        <f t="shared" ca="1" si="292"/>
        <v>0</v>
      </c>
      <c r="V666" s="306">
        <f t="shared" ca="1" si="293"/>
        <v>1.2252727980883886</v>
      </c>
      <c r="W666" s="304">
        <f t="shared" ca="1" si="294"/>
        <v>27.450245788618041</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0.57174378183291097</v>
      </c>
      <c r="AH666" s="304">
        <f t="shared" ca="1" si="318"/>
        <v>-9.2136364713575869</v>
      </c>
    </row>
    <row r="667" spans="1:34" x14ac:dyDescent="0.2">
      <c r="A667" s="347">
        <f t="shared" ca="1" si="296"/>
        <v>1E-4</v>
      </c>
      <c r="B667" s="304">
        <f t="shared" ca="1" si="297"/>
        <v>37.015900000000748</v>
      </c>
      <c r="D667" s="306">
        <f t="shared" ca="1" si="298"/>
        <v>-0.65234534756071805</v>
      </c>
      <c r="E667" s="307">
        <f t="shared" ca="1" si="299"/>
        <v>-0.6194665373896715</v>
      </c>
      <c r="F667" s="304">
        <f t="shared" ca="1" si="300"/>
        <v>0.8996072717745579</v>
      </c>
      <c r="G667" s="306">
        <f t="shared" ca="1" si="301"/>
        <v>7.405630357331459</v>
      </c>
      <c r="H667" s="307">
        <f t="shared" ca="1" si="302"/>
        <v>-104.33481869084476</v>
      </c>
      <c r="I667" s="304">
        <f t="shared" ca="1" si="303"/>
        <v>104.59731235667998</v>
      </c>
      <c r="J667" s="306">
        <f t="shared" ca="1" si="304"/>
        <v>839.7136314269211</v>
      </c>
      <c r="K667" s="307">
        <f t="shared" ca="1" si="305"/>
        <v>-2.2371087175548796</v>
      </c>
      <c r="L667" s="304">
        <f t="shared" ca="1" si="290"/>
        <v>839.71661139910839</v>
      </c>
      <c r="M667" s="306">
        <f t="shared" ca="1" si="306"/>
        <v>-1.4999356958296872</v>
      </c>
      <c r="N667" s="304">
        <f t="shared" ca="1" si="307"/>
        <v>-85.939984912059472</v>
      </c>
      <c r="P667" s="310">
        <f t="shared" ca="1" si="308"/>
        <v>23</v>
      </c>
      <c r="Q667" s="304">
        <f t="shared" ca="1" si="309"/>
        <v>0</v>
      </c>
      <c r="R667" s="306">
        <f t="shared" ca="1" si="310"/>
        <v>0</v>
      </c>
      <c r="S667" s="307">
        <f t="shared" ca="1" si="311"/>
        <v>2.9792999999999985</v>
      </c>
      <c r="T667" s="304">
        <f t="shared" ca="1" si="291"/>
        <v>29.226932999999988</v>
      </c>
      <c r="U667" s="311">
        <f t="shared" ca="1" si="292"/>
        <v>0</v>
      </c>
      <c r="V667" s="306">
        <f t="shared" ca="1" si="293"/>
        <v>1.2252740764748442</v>
      </c>
      <c r="W667" s="304">
        <f t="shared" ca="1" si="294"/>
        <v>27.4503044372373</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0.57172455739493877</v>
      </c>
      <c r="AH667" s="304">
        <f t="shared" ca="1" si="318"/>
        <v>-9.2136561570228093</v>
      </c>
    </row>
    <row r="668" spans="1:34" x14ac:dyDescent="0.2">
      <c r="A668" s="347">
        <f t="shared" ca="1" si="296"/>
        <v>1E-4</v>
      </c>
      <c r="B668" s="304">
        <f t="shared" ca="1" si="297"/>
        <v>37.016000000000751</v>
      </c>
      <c r="D668" s="306">
        <f t="shared" ca="1" si="298"/>
        <v>-0.65234063843198808</v>
      </c>
      <c r="E668" s="307">
        <f t="shared" ca="1" si="299"/>
        <v>-0.61944646824138161</v>
      </c>
      <c r="F668" s="304">
        <f t="shared" ca="1" si="300"/>
        <v>0.8995900374985123</v>
      </c>
      <c r="G668" s="306">
        <f t="shared" ca="1" si="301"/>
        <v>7.4055651232676158</v>
      </c>
      <c r="H668" s="307">
        <f t="shared" ca="1" si="302"/>
        <v>-104.33488063549159</v>
      </c>
      <c r="I668" s="304">
        <f t="shared" ca="1" si="303"/>
        <v>104.59736952723637</v>
      </c>
      <c r="J668" s="306">
        <f t="shared" ca="1" si="304"/>
        <v>839.7136314269211</v>
      </c>
      <c r="K668" s="307">
        <f t="shared" ca="1" si="305"/>
        <v>-2.2475422025211964</v>
      </c>
      <c r="L668" s="304">
        <f t="shared" ca="1" si="290"/>
        <v>839.71663926001804</v>
      </c>
      <c r="M668" s="306">
        <f t="shared" ca="1" si="306"/>
        <v>-1.4999363598628208</v>
      </c>
      <c r="N668" s="304">
        <f t="shared" ca="1" si="307"/>
        <v>-85.940022958355485</v>
      </c>
      <c r="P668" s="310">
        <f t="shared" ca="1" si="308"/>
        <v>23</v>
      </c>
      <c r="Q668" s="304">
        <f t="shared" ca="1" si="309"/>
        <v>0</v>
      </c>
      <c r="R668" s="306">
        <f t="shared" ca="1" si="310"/>
        <v>0</v>
      </c>
      <c r="S668" s="307">
        <f t="shared" ca="1" si="311"/>
        <v>2.9792999999999985</v>
      </c>
      <c r="T668" s="304">
        <f t="shared" ca="1" si="291"/>
        <v>29.226932999999988</v>
      </c>
      <c r="U668" s="311">
        <f t="shared" ca="1" si="292"/>
        <v>0</v>
      </c>
      <c r="V668" s="306">
        <f t="shared" ca="1" si="293"/>
        <v>1.2252753548633926</v>
      </c>
      <c r="W668" s="304">
        <f t="shared" ca="1" si="294"/>
        <v>27.450363084973439</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0.57170533324450901</v>
      </c>
      <c r="AH668" s="304">
        <f t="shared" ca="1" si="318"/>
        <v>-9.2136758423916074</v>
      </c>
    </row>
    <row r="669" spans="1:34" x14ac:dyDescent="0.2">
      <c r="A669" s="347">
        <f t="shared" ca="1" si="296"/>
        <v>1E-4</v>
      </c>
      <c r="B669" s="304">
        <f t="shared" ca="1" si="297"/>
        <v>37.016100000000755</v>
      </c>
      <c r="D669" s="306">
        <f t="shared" ca="1" si="298"/>
        <v>-0.65233592931633766</v>
      </c>
      <c r="E669" s="307">
        <f t="shared" ca="1" si="299"/>
        <v>-0.61942639939525534</v>
      </c>
      <c r="F669" s="304">
        <f t="shared" ca="1" si="300"/>
        <v>0.89957280358222269</v>
      </c>
      <c r="G669" s="306">
        <f t="shared" ca="1" si="301"/>
        <v>7.405499889674684</v>
      </c>
      <c r="H669" s="307">
        <f t="shared" ca="1" si="302"/>
        <v>-104.33494257813153</v>
      </c>
      <c r="I669" s="304">
        <f t="shared" ca="1" si="303"/>
        <v>104.59742669587037</v>
      </c>
      <c r="J669" s="306">
        <f t="shared" ca="1" si="304"/>
        <v>839.7136314269211</v>
      </c>
      <c r="K669" s="307">
        <f t="shared" ca="1" si="305"/>
        <v>-2.2579756936818778</v>
      </c>
      <c r="L669" s="304">
        <f t="shared" ca="1" si="290"/>
        <v>839.71666725057946</v>
      </c>
      <c r="M669" s="306">
        <f t="shared" ca="1" si="306"/>
        <v>-1.4999370238893794</v>
      </c>
      <c r="N669" s="304">
        <f t="shared" ca="1" si="307"/>
        <v>-85.940061004274781</v>
      </c>
      <c r="P669" s="310">
        <f t="shared" ca="1" si="308"/>
        <v>23</v>
      </c>
      <c r="Q669" s="304">
        <f t="shared" ca="1" si="309"/>
        <v>0</v>
      </c>
      <c r="R669" s="306">
        <f t="shared" ca="1" si="310"/>
        <v>0</v>
      </c>
      <c r="S669" s="307">
        <f t="shared" ca="1" si="311"/>
        <v>2.9792999999999985</v>
      </c>
      <c r="T669" s="304">
        <f t="shared" ca="1" si="291"/>
        <v>29.226932999999988</v>
      </c>
      <c r="U669" s="311">
        <f t="shared" ca="1" si="292"/>
        <v>0</v>
      </c>
      <c r="V669" s="306">
        <f t="shared" ca="1" si="293"/>
        <v>1.2252766332540346</v>
      </c>
      <c r="W669" s="304">
        <f t="shared" ca="1" si="294"/>
        <v>27.450421731826477</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0.57168610938161635</v>
      </c>
      <c r="AH669" s="304">
        <f t="shared" ca="1" si="318"/>
        <v>-9.2136955274639867</v>
      </c>
    </row>
    <row r="670" spans="1:34" x14ac:dyDescent="0.2">
      <c r="A670" s="347">
        <f t="shared" ca="1" si="296"/>
        <v>1E-4</v>
      </c>
      <c r="B670" s="304">
        <f t="shared" ca="1" si="297"/>
        <v>37.016200000000758</v>
      </c>
      <c r="D670" s="306">
        <f t="shared" ca="1" si="298"/>
        <v>-0.65233122021376366</v>
      </c>
      <c r="E670" s="307">
        <f t="shared" ca="1" si="299"/>
        <v>-0.61940633085129093</v>
      </c>
      <c r="F670" s="304">
        <f t="shared" ca="1" si="300"/>
        <v>0.89955557002568587</v>
      </c>
      <c r="G670" s="306">
        <f t="shared" ca="1" si="301"/>
        <v>7.4054346565526625</v>
      </c>
      <c r="H670" s="307">
        <f t="shared" ca="1" si="302"/>
        <v>-104.33500451876462</v>
      </c>
      <c r="I670" s="304">
        <f t="shared" ca="1" si="303"/>
        <v>104.59748386258201</v>
      </c>
      <c r="J670" s="306">
        <f t="shared" ca="1" si="304"/>
        <v>839.7136314269211</v>
      </c>
      <c r="K670" s="307">
        <f t="shared" ca="1" si="305"/>
        <v>-2.2684091910367226</v>
      </c>
      <c r="L670" s="304">
        <f t="shared" ca="1" si="290"/>
        <v>839.71669537079288</v>
      </c>
      <c r="M670" s="306">
        <f t="shared" ca="1" si="306"/>
        <v>-1.4999376879093629</v>
      </c>
      <c r="N670" s="304">
        <f t="shared" ca="1" si="307"/>
        <v>-85.940099049817334</v>
      </c>
      <c r="P670" s="310">
        <f t="shared" ca="1" si="308"/>
        <v>23</v>
      </c>
      <c r="Q670" s="304">
        <f t="shared" ca="1" si="309"/>
        <v>0</v>
      </c>
      <c r="R670" s="306">
        <f t="shared" ca="1" si="310"/>
        <v>0</v>
      </c>
      <c r="S670" s="307">
        <f t="shared" ca="1" si="311"/>
        <v>2.9792999999999985</v>
      </c>
      <c r="T670" s="304">
        <f t="shared" ca="1" si="291"/>
        <v>29.226932999999988</v>
      </c>
      <c r="U670" s="311">
        <f t="shared" ca="1" si="292"/>
        <v>0</v>
      </c>
      <c r="V670" s="306">
        <f t="shared" ca="1" si="293"/>
        <v>1.2252779116467689</v>
      </c>
      <c r="W670" s="304">
        <f t="shared" ca="1" si="294"/>
        <v>27.450480377796403</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0.57166688580625546</v>
      </c>
      <c r="AH670" s="304">
        <f t="shared" ca="1" si="318"/>
        <v>-9.2137152122399524</v>
      </c>
    </row>
    <row r="671" spans="1:34" x14ac:dyDescent="0.2">
      <c r="A671" s="347">
        <f t="shared" ca="1" si="296"/>
        <v>1E-4</v>
      </c>
      <c r="B671" s="304">
        <f t="shared" ca="1" si="297"/>
        <v>37.016300000000761</v>
      </c>
      <c r="D671" s="306">
        <f t="shared" ca="1" si="298"/>
        <v>-0.65232651112426931</v>
      </c>
      <c r="E671" s="307">
        <f t="shared" ca="1" si="299"/>
        <v>-0.61938626260949015</v>
      </c>
      <c r="F671" s="304">
        <f t="shared" ca="1" si="300"/>
        <v>0.89953833682890572</v>
      </c>
      <c r="G671" s="306">
        <f t="shared" ca="1" si="301"/>
        <v>7.4053694239015497</v>
      </c>
      <c r="H671" s="307">
        <f t="shared" ca="1" si="302"/>
        <v>-104.33506645739088</v>
      </c>
      <c r="I671" s="304">
        <f t="shared" ca="1" si="303"/>
        <v>104.59754102737132</v>
      </c>
      <c r="J671" s="306">
        <f t="shared" ca="1" si="304"/>
        <v>839.7136314269211</v>
      </c>
      <c r="K671" s="307">
        <f t="shared" ca="1" si="305"/>
        <v>-2.2788426945855305</v>
      </c>
      <c r="L671" s="304">
        <f t="shared" ca="1" si="290"/>
        <v>839.71672362065874</v>
      </c>
      <c r="M671" s="306">
        <f t="shared" ca="1" si="306"/>
        <v>-1.4999383519227714</v>
      </c>
      <c r="N671" s="304">
        <f t="shared" ca="1" si="307"/>
        <v>-85.940137094983186</v>
      </c>
      <c r="P671" s="310">
        <f t="shared" ca="1" si="308"/>
        <v>23</v>
      </c>
      <c r="Q671" s="304">
        <f t="shared" ca="1" si="309"/>
        <v>0</v>
      </c>
      <c r="R671" s="306">
        <f t="shared" ca="1" si="310"/>
        <v>0</v>
      </c>
      <c r="S671" s="307">
        <f t="shared" ca="1" si="311"/>
        <v>2.9792999999999985</v>
      </c>
      <c r="T671" s="304">
        <f t="shared" ca="1" si="291"/>
        <v>29.226932999999988</v>
      </c>
      <c r="U671" s="311">
        <f t="shared" ca="1" si="292"/>
        <v>0</v>
      </c>
      <c r="V671" s="306">
        <f t="shared" ca="1" si="293"/>
        <v>1.225279190041596</v>
      </c>
      <c r="W671" s="304">
        <f t="shared" ca="1" si="294"/>
        <v>27.450539022883238</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0.57164766251842813</v>
      </c>
      <c r="AH671" s="304">
        <f t="shared" ca="1" si="318"/>
        <v>-9.2137348967195027</v>
      </c>
    </row>
    <row r="672" spans="1:34" x14ac:dyDescent="0.2">
      <c r="A672" s="347">
        <f t="shared" ca="1" si="296"/>
        <v>1E-4</v>
      </c>
      <c r="B672" s="304">
        <f t="shared" ca="1" si="297"/>
        <v>37.016400000000765</v>
      </c>
      <c r="D672" s="306">
        <f t="shared" ca="1" si="298"/>
        <v>-0.65232180204785395</v>
      </c>
      <c r="E672" s="307">
        <f t="shared" ca="1" si="299"/>
        <v>-0.61936619466984233</v>
      </c>
      <c r="F672" s="304">
        <f t="shared" ca="1" si="300"/>
        <v>0.89952110399187446</v>
      </c>
      <c r="G672" s="306">
        <f t="shared" ca="1" si="301"/>
        <v>7.4053041917213447</v>
      </c>
      <c r="H672" s="307">
        <f t="shared" ca="1" si="302"/>
        <v>-104.33512839401035</v>
      </c>
      <c r="I672" s="304">
        <f t="shared" ca="1" si="303"/>
        <v>104.59759819023834</v>
      </c>
      <c r="J672" s="306">
        <f t="shared" ca="1" si="304"/>
        <v>839.7136314269211</v>
      </c>
      <c r="K672" s="307">
        <f t="shared" ca="1" si="305"/>
        <v>-2.2892762043281003</v>
      </c>
      <c r="L672" s="304">
        <f t="shared" ca="1" si="290"/>
        <v>839.71675200017705</v>
      </c>
      <c r="M672" s="306">
        <f t="shared" ca="1" si="306"/>
        <v>-1.4999390159296049</v>
      </c>
      <c r="N672" s="304">
        <f t="shared" ca="1" si="307"/>
        <v>-85.940175139772322</v>
      </c>
      <c r="P672" s="310">
        <f t="shared" ca="1" si="308"/>
        <v>23</v>
      </c>
      <c r="Q672" s="304">
        <f t="shared" ca="1" si="309"/>
        <v>0</v>
      </c>
      <c r="R672" s="306">
        <f t="shared" ca="1" si="310"/>
        <v>0</v>
      </c>
      <c r="S672" s="307">
        <f t="shared" ca="1" si="311"/>
        <v>2.9792999999999985</v>
      </c>
      <c r="T672" s="304">
        <f t="shared" ca="1" si="291"/>
        <v>29.226932999999988</v>
      </c>
      <c r="U672" s="311">
        <f t="shared" ca="1" si="292"/>
        <v>0</v>
      </c>
      <c r="V672" s="306">
        <f t="shared" ca="1" si="293"/>
        <v>1.2252804684385161</v>
      </c>
      <c r="W672" s="304">
        <f t="shared" ca="1" si="294"/>
        <v>27.450597667086992</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0.57162843951812903</v>
      </c>
      <c r="AH672" s="304">
        <f t="shared" ca="1" si="318"/>
        <v>-9.2137545809026449</v>
      </c>
    </row>
    <row r="673" spans="1:34" x14ac:dyDescent="0.2">
      <c r="A673" s="347">
        <f t="shared" ca="1" si="296"/>
        <v>1E-4</v>
      </c>
      <c r="B673" s="304">
        <f t="shared" ca="1" si="297"/>
        <v>37.016500000000768</v>
      </c>
      <c r="D673" s="306">
        <f t="shared" ca="1" si="298"/>
        <v>-0.65231709298451857</v>
      </c>
      <c r="E673" s="307">
        <f t="shared" ca="1" si="299"/>
        <v>-0.61934612703234571</v>
      </c>
      <c r="F673" s="304">
        <f t="shared" ca="1" si="300"/>
        <v>0.89950387151459199</v>
      </c>
      <c r="G673" s="306">
        <f t="shared" ca="1" si="301"/>
        <v>7.4052389600120465</v>
      </c>
      <c r="H673" s="307">
        <f t="shared" ca="1" si="302"/>
        <v>-104.33519032862306</v>
      </c>
      <c r="I673" s="304">
        <f t="shared" ca="1" si="303"/>
        <v>104.59765535118308</v>
      </c>
      <c r="J673" s="306">
        <f t="shared" ca="1" si="304"/>
        <v>839.7136314269211</v>
      </c>
      <c r="K673" s="307">
        <f t="shared" ca="1" si="305"/>
        <v>-2.2997097202642318</v>
      </c>
      <c r="L673" s="304">
        <f t="shared" ca="1" si="290"/>
        <v>839.71678050934804</v>
      </c>
      <c r="M673" s="306">
        <f t="shared" ca="1" si="306"/>
        <v>-1.4999396799298637</v>
      </c>
      <c r="N673" s="304">
        <f t="shared" ca="1" si="307"/>
        <v>-85.940213184184742</v>
      </c>
      <c r="P673" s="310">
        <f t="shared" ca="1" si="308"/>
        <v>23</v>
      </c>
      <c r="Q673" s="304">
        <f t="shared" ca="1" si="309"/>
        <v>0</v>
      </c>
      <c r="R673" s="306">
        <f t="shared" ca="1" si="310"/>
        <v>0</v>
      </c>
      <c r="S673" s="307">
        <f t="shared" ca="1" si="311"/>
        <v>2.9792999999999985</v>
      </c>
      <c r="T673" s="304">
        <f t="shared" ca="1" si="291"/>
        <v>29.226932999999988</v>
      </c>
      <c r="U673" s="311">
        <f t="shared" ca="1" si="292"/>
        <v>0</v>
      </c>
      <c r="V673" s="306">
        <f t="shared" ca="1" si="293"/>
        <v>1.2252817468375297</v>
      </c>
      <c r="W673" s="304">
        <f t="shared" ca="1" si="294"/>
        <v>27.450656310407687</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0.57160921680535282</v>
      </c>
      <c r="AH673" s="304">
        <f t="shared" ca="1" si="318"/>
        <v>-9.2137742647893823</v>
      </c>
    </row>
    <row r="674" spans="1:34" x14ac:dyDescent="0.2">
      <c r="A674" s="347">
        <f t="shared" ca="1" si="296"/>
        <v>1E-4</v>
      </c>
      <c r="B674" s="304">
        <f t="shared" ca="1" si="297"/>
        <v>37.016600000000771</v>
      </c>
      <c r="D674" s="306">
        <f t="shared" ca="1" si="298"/>
        <v>-0.65231238393426294</v>
      </c>
      <c r="E674" s="307">
        <f t="shared" ca="1" si="299"/>
        <v>-0.61932605969699672</v>
      </c>
      <c r="F674" s="304">
        <f t="shared" ca="1" si="300"/>
        <v>0.89948663939705586</v>
      </c>
      <c r="G674" s="306">
        <f t="shared" ca="1" si="301"/>
        <v>7.4051737287736534</v>
      </c>
      <c r="H674" s="307">
        <f t="shared" ca="1" si="302"/>
        <v>-104.33525226122903</v>
      </c>
      <c r="I674" s="304">
        <f t="shared" ca="1" si="303"/>
        <v>104.59771251020558</v>
      </c>
      <c r="J674" s="306">
        <f t="shared" ca="1" si="304"/>
        <v>839.7136314269211</v>
      </c>
      <c r="K674" s="307">
        <f t="shared" ca="1" si="305"/>
        <v>-2.3101432423937243</v>
      </c>
      <c r="L674" s="304">
        <f t="shared" ca="1" si="290"/>
        <v>839.71680914817193</v>
      </c>
      <c r="M674" s="306">
        <f t="shared" ca="1" si="306"/>
        <v>-1.4999403439235475</v>
      </c>
      <c r="N674" s="304">
        <f t="shared" ca="1" si="307"/>
        <v>-85.940251228220447</v>
      </c>
      <c r="P674" s="310">
        <f t="shared" ca="1" si="308"/>
        <v>23</v>
      </c>
      <c r="Q674" s="304">
        <f t="shared" ca="1" si="309"/>
        <v>0</v>
      </c>
      <c r="R674" s="306">
        <f t="shared" ca="1" si="310"/>
        <v>0</v>
      </c>
      <c r="S674" s="307">
        <f t="shared" ca="1" si="311"/>
        <v>2.9792999999999985</v>
      </c>
      <c r="T674" s="304">
        <f t="shared" ca="1" si="291"/>
        <v>29.226932999999988</v>
      </c>
      <c r="U674" s="311">
        <f t="shared" ca="1" si="292"/>
        <v>0</v>
      </c>
      <c r="V674" s="306">
        <f t="shared" ca="1" si="293"/>
        <v>1.2252830252386355</v>
      </c>
      <c r="W674" s="304">
        <f t="shared" ca="1" si="294"/>
        <v>27.450714952845313</v>
      </c>
      <c r="Y674" s="314" t="str">
        <f t="shared" ca="1" si="312"/>
        <v/>
      </c>
      <c r="Z674" s="315" t="str">
        <f t="shared" ca="1" si="313"/>
        <v/>
      </c>
      <c r="AA674" s="316" t="str">
        <f t="shared" ca="1" si="314"/>
        <v/>
      </c>
      <c r="AC674" s="310" t="e">
        <f t="shared" ca="1" si="315"/>
        <v>#N/A</v>
      </c>
      <c r="AD674" s="323" t="e">
        <f t="shared" ca="1" si="316"/>
        <v>#N/A</v>
      </c>
      <c r="AE674" s="324" t="e">
        <f t="shared" ca="1" si="295"/>
        <v>#N/A</v>
      </c>
      <c r="AG674" s="306">
        <f t="shared" ca="1" si="317"/>
        <v>0.57158999438009594</v>
      </c>
      <c r="AH674" s="304">
        <f t="shared" ca="1" si="318"/>
        <v>-9.2137939483797204</v>
      </c>
    </row>
    <row r="675" spans="1:34" x14ac:dyDescent="0.2">
      <c r="A675" s="347">
        <f t="shared" ca="1" si="296"/>
        <v>1E-4</v>
      </c>
      <c r="B675" s="304">
        <f t="shared" ca="1" si="297"/>
        <v>37.016700000000775</v>
      </c>
      <c r="D675" s="306">
        <f t="shared" ca="1" si="298"/>
        <v>-0.65230767489708963</v>
      </c>
      <c r="E675" s="307">
        <f t="shared" ca="1" si="299"/>
        <v>-0.6193059926637936</v>
      </c>
      <c r="F675" s="304">
        <f t="shared" ca="1" si="300"/>
        <v>0.89946940763926697</v>
      </c>
      <c r="G675" s="306">
        <f t="shared" ca="1" si="301"/>
        <v>7.4051084980061637</v>
      </c>
      <c r="H675" s="307">
        <f t="shared" ca="1" si="302"/>
        <v>-104.3353141918283</v>
      </c>
      <c r="I675" s="304">
        <f t="shared" ca="1" si="303"/>
        <v>104.59776966730587</v>
      </c>
      <c r="J675" s="306">
        <f t="shared" ca="1" si="304"/>
        <v>839.7136314269211</v>
      </c>
      <c r="K675" s="307">
        <f t="shared" ca="1" si="305"/>
        <v>-2.3205767707163769</v>
      </c>
      <c r="L675" s="304">
        <f t="shared" ca="1" si="290"/>
        <v>839.71683791664907</v>
      </c>
      <c r="M675" s="306">
        <f t="shared" ca="1" si="306"/>
        <v>-1.499941007910657</v>
      </c>
      <c r="N675" s="304">
        <f t="shared" ca="1" si="307"/>
        <v>-85.940289271879465</v>
      </c>
      <c r="P675" s="310">
        <f t="shared" ca="1" si="308"/>
        <v>23</v>
      </c>
      <c r="Q675" s="304">
        <f t="shared" ca="1" si="309"/>
        <v>0</v>
      </c>
      <c r="R675" s="306">
        <f t="shared" ca="1" si="310"/>
        <v>0</v>
      </c>
      <c r="S675" s="307">
        <f t="shared" ca="1" si="311"/>
        <v>2.9792999999999985</v>
      </c>
      <c r="T675" s="304">
        <f t="shared" ca="1" si="291"/>
        <v>29.226932999999988</v>
      </c>
      <c r="U675" s="311">
        <f t="shared" ca="1" si="292"/>
        <v>0</v>
      </c>
      <c r="V675" s="306">
        <f t="shared" ca="1" si="293"/>
        <v>1.2252843036418342</v>
      </c>
      <c r="W675" s="304">
        <f t="shared" ca="1" si="294"/>
        <v>27.450773594399884</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0.57157077224235842</v>
      </c>
      <c r="AH675" s="304">
        <f t="shared" ca="1" si="318"/>
        <v>-9.2138136316736574</v>
      </c>
    </row>
    <row r="676" spans="1:34" x14ac:dyDescent="0.2">
      <c r="A676" s="347">
        <f t="shared" ca="1" si="296"/>
        <v>1E-4</v>
      </c>
      <c r="B676" s="304">
        <f t="shared" ca="1" si="297"/>
        <v>37.016800000000778</v>
      </c>
      <c r="D676" s="306">
        <f t="shared" ca="1" si="298"/>
        <v>-0.65230296587299386</v>
      </c>
      <c r="E676" s="307">
        <f t="shared" ca="1" si="299"/>
        <v>-0.61928592593273635</v>
      </c>
      <c r="F676" s="304">
        <f t="shared" ca="1" si="300"/>
        <v>0.8994521762412222</v>
      </c>
      <c r="G676" s="306">
        <f t="shared" ca="1" si="301"/>
        <v>7.4050432677095763</v>
      </c>
      <c r="H676" s="307">
        <f t="shared" ca="1" si="302"/>
        <v>-104.33537612042089</v>
      </c>
      <c r="I676" s="304">
        <f t="shared" ca="1" si="303"/>
        <v>104.59782682248395</v>
      </c>
      <c r="J676" s="306">
        <f t="shared" ca="1" si="304"/>
        <v>839.7136314269211</v>
      </c>
      <c r="K676" s="307">
        <f t="shared" ca="1" si="305"/>
        <v>-2.3310103052319895</v>
      </c>
      <c r="L676" s="304">
        <f t="shared" ca="1" si="290"/>
        <v>839.71686681477956</v>
      </c>
      <c r="M676" s="306">
        <f t="shared" ca="1" si="306"/>
        <v>-1.4999416718911915</v>
      </c>
      <c r="N676" s="304">
        <f t="shared" ca="1" si="307"/>
        <v>-85.940327315161781</v>
      </c>
      <c r="P676" s="310">
        <f t="shared" ca="1" si="308"/>
        <v>23</v>
      </c>
      <c r="Q676" s="304">
        <f t="shared" ca="1" si="309"/>
        <v>0</v>
      </c>
      <c r="R676" s="306">
        <f t="shared" ca="1" si="310"/>
        <v>0</v>
      </c>
      <c r="S676" s="307">
        <f t="shared" ca="1" si="311"/>
        <v>2.9792999999999985</v>
      </c>
      <c r="T676" s="304">
        <f t="shared" ca="1" si="291"/>
        <v>29.226932999999988</v>
      </c>
      <c r="U676" s="311">
        <f t="shared" ca="1" si="292"/>
        <v>0</v>
      </c>
      <c r="V676" s="306">
        <f t="shared" ca="1" si="293"/>
        <v>1.2252855820471258</v>
      </c>
      <c r="W676" s="304">
        <f t="shared" ca="1" si="294"/>
        <v>27.450832235071413</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0.57155155039213845</v>
      </c>
      <c r="AH676" s="304">
        <f t="shared" ca="1" si="318"/>
        <v>-9.2138333146711968</v>
      </c>
    </row>
    <row r="677" spans="1:34" x14ac:dyDescent="0.2">
      <c r="A677" s="347">
        <f t="shared" ca="1" si="296"/>
        <v>1E-4</v>
      </c>
      <c r="B677" s="304">
        <f t="shared" ca="1" si="297"/>
        <v>37.016900000000781</v>
      </c>
      <c r="D677" s="306">
        <f t="shared" ca="1" si="298"/>
        <v>-0.65229825686198317</v>
      </c>
      <c r="E677" s="307">
        <f t="shared" ca="1" si="299"/>
        <v>-0.61926585950381607</v>
      </c>
      <c r="F677" s="304">
        <f t="shared" ca="1" si="300"/>
        <v>0.89943494520292122</v>
      </c>
      <c r="G677" s="306">
        <f t="shared" ca="1" si="301"/>
        <v>7.4049780378838905</v>
      </c>
      <c r="H677" s="307">
        <f t="shared" ca="1" si="302"/>
        <v>-104.33543804700685</v>
      </c>
      <c r="I677" s="304">
        <f t="shared" ca="1" si="303"/>
        <v>104.5978839757399</v>
      </c>
      <c r="J677" s="306">
        <f t="shared" ca="1" si="304"/>
        <v>839.7136314269211</v>
      </c>
      <c r="K677" s="307">
        <f t="shared" ca="1" si="305"/>
        <v>-2.3414438459403608</v>
      </c>
      <c r="L677" s="304">
        <f t="shared" ca="1" si="290"/>
        <v>839.71689584256364</v>
      </c>
      <c r="M677" s="306">
        <f t="shared" ca="1" si="306"/>
        <v>-1.4999423358651518</v>
      </c>
      <c r="N677" s="304">
        <f t="shared" ca="1" si="307"/>
        <v>-85.94036535806741</v>
      </c>
      <c r="P677" s="310">
        <f t="shared" ca="1" si="308"/>
        <v>23</v>
      </c>
      <c r="Q677" s="304">
        <f t="shared" ca="1" si="309"/>
        <v>0</v>
      </c>
      <c r="R677" s="306">
        <f t="shared" ca="1" si="310"/>
        <v>0</v>
      </c>
      <c r="S677" s="307">
        <f t="shared" ca="1" si="311"/>
        <v>2.9792999999999985</v>
      </c>
      <c r="T677" s="304">
        <f t="shared" ca="1" si="291"/>
        <v>29.226932999999988</v>
      </c>
      <c r="U677" s="311">
        <f t="shared" ca="1" si="292"/>
        <v>0</v>
      </c>
      <c r="V677" s="306">
        <f t="shared" ca="1" si="293"/>
        <v>1.22528686045451</v>
      </c>
      <c r="W677" s="304">
        <f t="shared" ca="1" si="294"/>
        <v>27.450890874859915</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0.57153232882943072</v>
      </c>
      <c r="AH677" s="304">
        <f t="shared" ca="1" si="318"/>
        <v>-9.213852997372344</v>
      </c>
    </row>
    <row r="678" spans="1:34" x14ac:dyDescent="0.2">
      <c r="A678" s="347">
        <f t="shared" ca="1" si="296"/>
        <v>1E-4</v>
      </c>
      <c r="B678" s="304">
        <f t="shared" ca="1" si="297"/>
        <v>37.017000000000785</v>
      </c>
      <c r="D678" s="306">
        <f t="shared" ca="1" si="298"/>
        <v>-0.65229354786405269</v>
      </c>
      <c r="E678" s="307">
        <f t="shared" ca="1" si="299"/>
        <v>-0.61924579337702923</v>
      </c>
      <c r="F678" s="304">
        <f t="shared" ca="1" si="300"/>
        <v>0.89941771452435793</v>
      </c>
      <c r="G678" s="306">
        <f t="shared" ca="1" si="301"/>
        <v>7.4049128085291045</v>
      </c>
      <c r="H678" s="307">
        <f t="shared" ca="1" si="302"/>
        <v>-104.33549997158619</v>
      </c>
      <c r="I678" s="304">
        <f t="shared" ca="1" si="303"/>
        <v>104.59794112707372</v>
      </c>
      <c r="J678" s="306">
        <f t="shared" ca="1" si="304"/>
        <v>839.7136314269211</v>
      </c>
      <c r="K678" s="307">
        <f t="shared" ca="1" si="305"/>
        <v>-2.3518773928412906</v>
      </c>
      <c r="L678" s="304">
        <f t="shared" ca="1" si="290"/>
        <v>839.71692500000142</v>
      </c>
      <c r="M678" s="306">
        <f t="shared" ca="1" si="306"/>
        <v>-1.4999429998325378</v>
      </c>
      <c r="N678" s="304">
        <f t="shared" ca="1" si="307"/>
        <v>-85.940403400596352</v>
      </c>
      <c r="P678" s="310">
        <f t="shared" ca="1" si="308"/>
        <v>23</v>
      </c>
      <c r="Q678" s="304">
        <f t="shared" ca="1" si="309"/>
        <v>0</v>
      </c>
      <c r="R678" s="306">
        <f t="shared" ca="1" si="310"/>
        <v>0</v>
      </c>
      <c r="S678" s="307">
        <f t="shared" ca="1" si="311"/>
        <v>2.9792999999999985</v>
      </c>
      <c r="T678" s="304">
        <f t="shared" ca="1" si="291"/>
        <v>29.226932999999988</v>
      </c>
      <c r="U678" s="311">
        <f t="shared" ca="1" si="292"/>
        <v>0</v>
      </c>
      <c r="V678" s="306">
        <f t="shared" ca="1" si="293"/>
        <v>1.2252881388639871</v>
      </c>
      <c r="W678" s="304">
        <f t="shared" ca="1" si="294"/>
        <v>27.450949513765408</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0.57151310755423168</v>
      </c>
      <c r="AH678" s="304">
        <f t="shared" ca="1" si="318"/>
        <v>-9.2138726797771042</v>
      </c>
    </row>
    <row r="679" spans="1:34" x14ac:dyDescent="0.2">
      <c r="A679" s="347">
        <f t="shared" ca="1" si="296"/>
        <v>1E-4</v>
      </c>
      <c r="B679" s="304">
        <f t="shared" ca="1" si="297"/>
        <v>37.017100000000788</v>
      </c>
      <c r="D679" s="306">
        <f t="shared" ca="1" si="298"/>
        <v>-0.65228883887920386</v>
      </c>
      <c r="E679" s="307">
        <f t="shared" ca="1" si="299"/>
        <v>-0.61922572755236871</v>
      </c>
      <c r="F679" s="304">
        <f t="shared" ca="1" si="300"/>
        <v>0.89940048420552909</v>
      </c>
      <c r="G679" s="306">
        <f t="shared" ca="1" si="301"/>
        <v>7.4048475796452164</v>
      </c>
      <c r="H679" s="307">
        <f t="shared" ca="1" si="302"/>
        <v>-104.33556189415894</v>
      </c>
      <c r="I679" s="304">
        <f t="shared" ca="1" si="303"/>
        <v>104.59799827648543</v>
      </c>
      <c r="J679" s="306">
        <f t="shared" ca="1" si="304"/>
        <v>839.7136314269211</v>
      </c>
      <c r="K679" s="307">
        <f t="shared" ca="1" si="305"/>
        <v>-2.3623109459345777</v>
      </c>
      <c r="L679" s="304">
        <f t="shared" ca="1" si="290"/>
        <v>839.71695428709336</v>
      </c>
      <c r="M679" s="306">
        <f t="shared" ca="1" si="306"/>
        <v>-1.4999436637933492</v>
      </c>
      <c r="N679" s="304">
        <f t="shared" ca="1" si="307"/>
        <v>-85.940441442748622</v>
      </c>
      <c r="P679" s="310">
        <f t="shared" ca="1" si="308"/>
        <v>23</v>
      </c>
      <c r="Q679" s="304">
        <f t="shared" ca="1" si="309"/>
        <v>0</v>
      </c>
      <c r="R679" s="306">
        <f t="shared" ca="1" si="310"/>
        <v>0</v>
      </c>
      <c r="S679" s="307">
        <f t="shared" ca="1" si="311"/>
        <v>2.9792999999999985</v>
      </c>
      <c r="T679" s="304">
        <f t="shared" ca="1" si="291"/>
        <v>29.226932999999988</v>
      </c>
      <c r="U679" s="311">
        <f t="shared" ca="1" si="292"/>
        <v>0</v>
      </c>
      <c r="V679" s="306">
        <f t="shared" ca="1" si="293"/>
        <v>1.2252894172755568</v>
      </c>
      <c r="W679" s="304">
        <f t="shared" ca="1" si="294"/>
        <v>27.451008151787875</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0.57149388656653066</v>
      </c>
      <c r="AH679" s="304">
        <f t="shared" ca="1" si="318"/>
        <v>-9.2138923618854847</v>
      </c>
    </row>
    <row r="680" spans="1:34" x14ac:dyDescent="0.2">
      <c r="A680" s="347">
        <f t="shared" ca="1" si="296"/>
        <v>1E-4</v>
      </c>
      <c r="B680" s="304">
        <f t="shared" ca="1" si="297"/>
        <v>37.017200000000791</v>
      </c>
      <c r="D680" s="306">
        <f t="shared" ca="1" si="298"/>
        <v>-0.65228412990743923</v>
      </c>
      <c r="E680" s="307">
        <f t="shared" ca="1" si="299"/>
        <v>-0.61920566202984517</v>
      </c>
      <c r="F680" s="304">
        <f t="shared" ca="1" si="300"/>
        <v>0.89938325424644405</v>
      </c>
      <c r="G680" s="306">
        <f t="shared" ca="1" si="301"/>
        <v>7.4047823512322255</v>
      </c>
      <c r="H680" s="307">
        <f t="shared" ca="1" si="302"/>
        <v>-104.33562381472514</v>
      </c>
      <c r="I680" s="304">
        <f t="shared" ca="1" si="303"/>
        <v>104.59805542397507</v>
      </c>
      <c r="J680" s="306">
        <f t="shared" ca="1" si="304"/>
        <v>839.7136314269211</v>
      </c>
      <c r="K680" s="307">
        <f t="shared" ca="1" si="305"/>
        <v>-2.3727445052200218</v>
      </c>
      <c r="L680" s="304">
        <f t="shared" ca="1" si="290"/>
        <v>839.71698370383945</v>
      </c>
      <c r="M680" s="306">
        <f t="shared" ca="1" si="306"/>
        <v>-1.4999443277475863</v>
      </c>
      <c r="N680" s="304">
        <f t="shared" ca="1" si="307"/>
        <v>-85.94047948452419</v>
      </c>
      <c r="P680" s="310">
        <f t="shared" ca="1" si="308"/>
        <v>23</v>
      </c>
      <c r="Q680" s="304">
        <f t="shared" ca="1" si="309"/>
        <v>0</v>
      </c>
      <c r="R680" s="306">
        <f t="shared" ca="1" si="310"/>
        <v>0</v>
      </c>
      <c r="S680" s="307">
        <f t="shared" ca="1" si="311"/>
        <v>2.9792999999999985</v>
      </c>
      <c r="T680" s="304">
        <f t="shared" ca="1" si="291"/>
        <v>29.226932999999988</v>
      </c>
      <c r="U680" s="311">
        <f t="shared" ca="1" si="292"/>
        <v>0</v>
      </c>
      <c r="V680" s="306">
        <f t="shared" ca="1" si="293"/>
        <v>1.2252906956892196</v>
      </c>
      <c r="W680" s="304">
        <f t="shared" ca="1" si="294"/>
        <v>27.451066788927349</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0.5714746658663401</v>
      </c>
      <c r="AH680" s="304">
        <f t="shared" ca="1" si="318"/>
        <v>-9.2139120436974746</v>
      </c>
    </row>
    <row r="681" spans="1:34" x14ac:dyDescent="0.2">
      <c r="A681" s="347">
        <f t="shared" ca="1" si="296"/>
        <v>1E-4</v>
      </c>
      <c r="B681" s="304">
        <f t="shared" ca="1" si="297"/>
        <v>37.017300000000795</v>
      </c>
      <c r="D681" s="306">
        <f t="shared" ca="1" si="298"/>
        <v>-0.65227942094875879</v>
      </c>
      <c r="E681" s="307">
        <f t="shared" ca="1" si="299"/>
        <v>-0.61918559680944085</v>
      </c>
      <c r="F681" s="304">
        <f t="shared" ca="1" si="300"/>
        <v>0.89936602464709081</v>
      </c>
      <c r="G681" s="306">
        <f t="shared" ca="1" si="301"/>
        <v>7.4047171232901308</v>
      </c>
      <c r="H681" s="307">
        <f t="shared" ca="1" si="302"/>
        <v>-104.33568573328482</v>
      </c>
      <c r="I681" s="304">
        <f t="shared" ca="1" si="303"/>
        <v>104.59811256954266</v>
      </c>
      <c r="J681" s="306">
        <f t="shared" ca="1" si="304"/>
        <v>839.7136314269211</v>
      </c>
      <c r="K681" s="307">
        <f t="shared" ca="1" si="305"/>
        <v>-2.3831780706974222</v>
      </c>
      <c r="L681" s="304">
        <f t="shared" ca="1" si="290"/>
        <v>839.71701325024003</v>
      </c>
      <c r="M681" s="306">
        <f t="shared" ca="1" si="306"/>
        <v>-1.4999449916952494</v>
      </c>
      <c r="N681" s="304">
        <f t="shared" ca="1" si="307"/>
        <v>-85.940517525923113</v>
      </c>
      <c r="P681" s="310">
        <f t="shared" ca="1" si="308"/>
        <v>23</v>
      </c>
      <c r="Q681" s="304">
        <f t="shared" ca="1" si="309"/>
        <v>0</v>
      </c>
      <c r="R681" s="306">
        <f t="shared" ca="1" si="310"/>
        <v>0</v>
      </c>
      <c r="S681" s="307">
        <f t="shared" ca="1" si="311"/>
        <v>2.9792999999999985</v>
      </c>
      <c r="T681" s="304">
        <f t="shared" ca="1" si="291"/>
        <v>29.226932999999988</v>
      </c>
      <c r="U681" s="311">
        <f t="shared" ca="1" si="292"/>
        <v>0</v>
      </c>
      <c r="V681" s="306">
        <f t="shared" ca="1" si="293"/>
        <v>1.2252919741049748</v>
      </c>
      <c r="W681" s="304">
        <f t="shared" ca="1" si="294"/>
        <v>27.451125425183832</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0.57145544545364224</v>
      </c>
      <c r="AH681" s="304">
        <f t="shared" ca="1" si="318"/>
        <v>-9.2139317252130919</v>
      </c>
    </row>
    <row r="682" spans="1:34" x14ac:dyDescent="0.2">
      <c r="A682" s="347">
        <f t="shared" ca="1" si="296"/>
        <v>1E-4</v>
      </c>
      <c r="B682" s="304">
        <f t="shared" ca="1" si="297"/>
        <v>37.017400000000798</v>
      </c>
      <c r="D682" s="306">
        <f t="shared" ca="1" si="298"/>
        <v>-0.65227471200316112</v>
      </c>
      <c r="E682" s="307">
        <f t="shared" ca="1" si="299"/>
        <v>-0.6191655318911593</v>
      </c>
      <c r="F682" s="304">
        <f t="shared" ca="1" si="300"/>
        <v>0.89934879540747092</v>
      </c>
      <c r="G682" s="306">
        <f t="shared" ca="1" si="301"/>
        <v>7.4046518958189305</v>
      </c>
      <c r="H682" s="307">
        <f t="shared" ca="1" si="302"/>
        <v>-104.33574764983801</v>
      </c>
      <c r="I682" s="304">
        <f t="shared" ca="1" si="303"/>
        <v>104.59816971318826</v>
      </c>
      <c r="J682" s="306">
        <f t="shared" ca="1" si="304"/>
        <v>839.7136314269211</v>
      </c>
      <c r="K682" s="307">
        <f t="shared" ca="1" si="305"/>
        <v>-2.3936116423665781</v>
      </c>
      <c r="L682" s="304">
        <f t="shared" ca="1" si="290"/>
        <v>839.71704292629522</v>
      </c>
      <c r="M682" s="306">
        <f t="shared" ca="1" si="306"/>
        <v>-1.4999456556363384</v>
      </c>
      <c r="N682" s="304">
        <f t="shared" ca="1" si="307"/>
        <v>-85.940555566945349</v>
      </c>
      <c r="P682" s="310">
        <f t="shared" ca="1" si="308"/>
        <v>23</v>
      </c>
      <c r="Q682" s="304">
        <f t="shared" ca="1" si="309"/>
        <v>0</v>
      </c>
      <c r="R682" s="306">
        <f t="shared" ca="1" si="310"/>
        <v>0</v>
      </c>
      <c r="S682" s="307">
        <f t="shared" ca="1" si="311"/>
        <v>2.9792999999999985</v>
      </c>
      <c r="T682" s="304">
        <f t="shared" ca="1" si="291"/>
        <v>29.226932999999988</v>
      </c>
      <c r="U682" s="311">
        <f t="shared" ca="1" si="292"/>
        <v>0</v>
      </c>
      <c r="V682" s="306">
        <f t="shared" ca="1" si="293"/>
        <v>1.2252932525228228</v>
      </c>
      <c r="W682" s="304">
        <f t="shared" ca="1" si="294"/>
        <v>27.451184060557335</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0.57143622532844596</v>
      </c>
      <c r="AH682" s="304">
        <f t="shared" ca="1" si="318"/>
        <v>-9.2139514064323311</v>
      </c>
    </row>
    <row r="683" spans="1:34" x14ac:dyDescent="0.2">
      <c r="A683" s="347">
        <f t="shared" ca="1" si="296"/>
        <v>1E-4</v>
      </c>
      <c r="B683" s="304">
        <f t="shared" ca="1" si="297"/>
        <v>37.017500000000801</v>
      </c>
      <c r="D683" s="306">
        <f t="shared" ca="1" si="298"/>
        <v>-0.65227000307064775</v>
      </c>
      <c r="E683" s="307">
        <f t="shared" ca="1" si="299"/>
        <v>-0.61914546727499342</v>
      </c>
      <c r="F683" s="304">
        <f t="shared" ca="1" si="300"/>
        <v>0.89933156652758095</v>
      </c>
      <c r="G683" s="306">
        <f t="shared" ca="1" si="301"/>
        <v>7.4045866688186237</v>
      </c>
      <c r="H683" s="307">
        <f t="shared" ca="1" si="302"/>
        <v>-104.33580956438475</v>
      </c>
      <c r="I683" s="304">
        <f t="shared" ca="1" si="303"/>
        <v>104.59822685491187</v>
      </c>
      <c r="J683" s="306">
        <f t="shared" ca="1" si="304"/>
        <v>839.7136314269211</v>
      </c>
      <c r="K683" s="307">
        <f t="shared" ca="1" si="305"/>
        <v>-2.4040452202272893</v>
      </c>
      <c r="L683" s="304">
        <f t="shared" ca="1" si="290"/>
        <v>839.71707273200536</v>
      </c>
      <c r="M683" s="306">
        <f t="shared" ca="1" si="306"/>
        <v>-1.4999463195708533</v>
      </c>
      <c r="N683" s="304">
        <f t="shared" ca="1" si="307"/>
        <v>-85.940593607590927</v>
      </c>
      <c r="P683" s="310">
        <f t="shared" ca="1" si="308"/>
        <v>23</v>
      </c>
      <c r="Q683" s="304">
        <f t="shared" ca="1" si="309"/>
        <v>0</v>
      </c>
      <c r="R683" s="306">
        <f t="shared" ca="1" si="310"/>
        <v>0</v>
      </c>
      <c r="S683" s="307">
        <f t="shared" ca="1" si="311"/>
        <v>2.9792999999999985</v>
      </c>
      <c r="T683" s="304">
        <f t="shared" ca="1" si="291"/>
        <v>29.226932999999988</v>
      </c>
      <c r="U683" s="311">
        <f t="shared" ca="1" si="292"/>
        <v>0</v>
      </c>
      <c r="V683" s="306">
        <f t="shared" ca="1" si="293"/>
        <v>1.2252945309427632</v>
      </c>
      <c r="W683" s="304">
        <f t="shared" ca="1" si="294"/>
        <v>27.451242695047871</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0.57141700549073704</v>
      </c>
      <c r="AH683" s="304">
        <f t="shared" ca="1" si="318"/>
        <v>-9.2139710873552012</v>
      </c>
    </row>
    <row r="684" spans="1:34" x14ac:dyDescent="0.2">
      <c r="A684" s="347">
        <f t="shared" ca="1" si="296"/>
        <v>1E-4</v>
      </c>
      <c r="B684" s="304">
        <f t="shared" ca="1" si="297"/>
        <v>37.017600000000805</v>
      </c>
      <c r="D684" s="306">
        <f t="shared" ca="1" si="298"/>
        <v>-0.65226529415121992</v>
      </c>
      <c r="E684" s="307">
        <f t="shared" ca="1" si="299"/>
        <v>-0.61912540296094321</v>
      </c>
      <c r="F684" s="304">
        <f t="shared" ca="1" si="300"/>
        <v>0.89931433800742211</v>
      </c>
      <c r="G684" s="306">
        <f t="shared" ca="1" si="301"/>
        <v>7.4045214422892087</v>
      </c>
      <c r="H684" s="307">
        <f t="shared" ca="1" si="302"/>
        <v>-104.33587147692504</v>
      </c>
      <c r="I684" s="304">
        <f t="shared" ca="1" si="303"/>
        <v>104.59828399471351</v>
      </c>
      <c r="J684" s="306">
        <f t="shared" ca="1" si="304"/>
        <v>839.7136314269211</v>
      </c>
      <c r="K684" s="307">
        <f t="shared" ca="1" si="305"/>
        <v>-2.4144788042793546</v>
      </c>
      <c r="L684" s="304">
        <f t="shared" ca="1" si="290"/>
        <v>839.71710266737057</v>
      </c>
      <c r="M684" s="306">
        <f t="shared" ca="1" si="306"/>
        <v>-1.4999469834987942</v>
      </c>
      <c r="N684" s="304">
        <f t="shared" ca="1" si="307"/>
        <v>-85.940631647859846</v>
      </c>
      <c r="P684" s="310">
        <f t="shared" ca="1" si="308"/>
        <v>23</v>
      </c>
      <c r="Q684" s="304">
        <f t="shared" ca="1" si="309"/>
        <v>0</v>
      </c>
      <c r="R684" s="306">
        <f t="shared" ca="1" si="310"/>
        <v>0</v>
      </c>
      <c r="S684" s="307">
        <f t="shared" ca="1" si="311"/>
        <v>2.9792999999999985</v>
      </c>
      <c r="T684" s="304">
        <f t="shared" ca="1" si="291"/>
        <v>29.226932999999988</v>
      </c>
      <c r="U684" s="311">
        <f t="shared" ca="1" si="292"/>
        <v>0</v>
      </c>
      <c r="V684" s="306">
        <f t="shared" ca="1" si="293"/>
        <v>1.2252958093647965</v>
      </c>
      <c r="W684" s="304">
        <f t="shared" ca="1" si="294"/>
        <v>27.45130132865544</v>
      </c>
      <c r="Y684" s="314" t="str">
        <f t="shared" ca="1" si="312"/>
        <v/>
      </c>
      <c r="Z684" s="315" t="str">
        <f t="shared" ca="1" si="313"/>
        <v/>
      </c>
      <c r="AA684" s="316" t="str">
        <f t="shared" ca="1" si="314"/>
        <v/>
      </c>
      <c r="AC684" s="310" t="e">
        <f t="shared" ca="1" si="315"/>
        <v>#N/A</v>
      </c>
      <c r="AD684" s="323" t="e">
        <f t="shared" ca="1" si="316"/>
        <v>#N/A</v>
      </c>
      <c r="AE684" s="324" t="e">
        <f t="shared" ca="1" si="295"/>
        <v>#N/A</v>
      </c>
      <c r="AG684" s="306">
        <f t="shared" ca="1" si="317"/>
        <v>0.57139778594051904</v>
      </c>
      <c r="AH684" s="304">
        <f t="shared" ca="1" si="318"/>
        <v>-9.2139907679817021</v>
      </c>
    </row>
    <row r="685" spans="1:34" x14ac:dyDescent="0.2">
      <c r="A685" s="347">
        <f t="shared" ca="1" si="296"/>
        <v>1E-4</v>
      </c>
      <c r="B685" s="304">
        <f t="shared" ca="1" si="297"/>
        <v>37.017700000000808</v>
      </c>
      <c r="D685" s="306">
        <f t="shared" ca="1" si="298"/>
        <v>-0.65226058524487851</v>
      </c>
      <c r="E685" s="307">
        <f t="shared" ca="1" si="299"/>
        <v>-0.6191053389490051</v>
      </c>
      <c r="F685" s="304">
        <f t="shared" ca="1" si="300"/>
        <v>0.89929710984699263</v>
      </c>
      <c r="G685" s="306">
        <f t="shared" ca="1" si="301"/>
        <v>7.4044562162306846</v>
      </c>
      <c r="H685" s="307">
        <f t="shared" ca="1" si="302"/>
        <v>-104.33593338745894</v>
      </c>
      <c r="I685" s="304">
        <f t="shared" ca="1" si="303"/>
        <v>104.59834113259323</v>
      </c>
      <c r="J685" s="306">
        <f t="shared" ca="1" si="304"/>
        <v>839.7136314269211</v>
      </c>
      <c r="K685" s="307">
        <f t="shared" ca="1" si="305"/>
        <v>-2.4249123945225737</v>
      </c>
      <c r="L685" s="304">
        <f t="shared" ca="1" si="290"/>
        <v>839.71713273239118</v>
      </c>
      <c r="M685" s="306">
        <f t="shared" ca="1" si="306"/>
        <v>-1.4999476474201614</v>
      </c>
      <c r="N685" s="304">
        <f t="shared" ca="1" si="307"/>
        <v>-85.940669687752106</v>
      </c>
      <c r="P685" s="310">
        <f t="shared" ca="1" si="308"/>
        <v>23</v>
      </c>
      <c r="Q685" s="304">
        <f t="shared" ca="1" si="309"/>
        <v>0</v>
      </c>
      <c r="R685" s="306">
        <f t="shared" ca="1" si="310"/>
        <v>0</v>
      </c>
      <c r="S685" s="307">
        <f t="shared" ca="1" si="311"/>
        <v>2.9792999999999985</v>
      </c>
      <c r="T685" s="304">
        <f t="shared" ca="1" si="291"/>
        <v>29.226932999999988</v>
      </c>
      <c r="U685" s="311">
        <f t="shared" ca="1" si="292"/>
        <v>0</v>
      </c>
      <c r="V685" s="306">
        <f t="shared" ca="1" si="293"/>
        <v>1.2252970877889222</v>
      </c>
      <c r="W685" s="304">
        <f t="shared" ca="1" si="294"/>
        <v>27.451359961380057</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0.57137856667779019</v>
      </c>
      <c r="AH685" s="304">
        <f t="shared" ca="1" si="318"/>
        <v>-9.2140104483118357</v>
      </c>
    </row>
    <row r="686" spans="1:34" x14ac:dyDescent="0.2">
      <c r="A686" s="347">
        <f t="shared" ca="1" si="296"/>
        <v>1E-4</v>
      </c>
      <c r="B686" s="304">
        <f t="shared" ca="1" si="297"/>
        <v>37.017800000000811</v>
      </c>
      <c r="D686" s="306">
        <f t="shared" ca="1" si="298"/>
        <v>-0.65225587635162097</v>
      </c>
      <c r="E686" s="307">
        <f t="shared" ca="1" si="299"/>
        <v>-0.61908527523917378</v>
      </c>
      <c r="F686" s="304">
        <f t="shared" ca="1" si="300"/>
        <v>0.8992798820462875</v>
      </c>
      <c r="G686" s="306">
        <f t="shared" ca="1" si="301"/>
        <v>7.4043909906430496</v>
      </c>
      <c r="H686" s="307">
        <f t="shared" ca="1" si="302"/>
        <v>-104.33599529598646</v>
      </c>
      <c r="I686" s="304">
        <f t="shared" ca="1" si="303"/>
        <v>104.59839826855107</v>
      </c>
      <c r="J686" s="306">
        <f t="shared" ca="1" si="304"/>
        <v>839.7136314269211</v>
      </c>
      <c r="K686" s="307">
        <f t="shared" ca="1" si="305"/>
        <v>-2.4353459909567459</v>
      </c>
      <c r="L686" s="304">
        <f t="shared" ca="1" si="290"/>
        <v>839.71716292706719</v>
      </c>
      <c r="M686" s="306">
        <f t="shared" ca="1" si="306"/>
        <v>-1.4999483113349548</v>
      </c>
      <c r="N686" s="304">
        <f t="shared" ca="1" si="307"/>
        <v>-85.940707727267721</v>
      </c>
      <c r="P686" s="310">
        <f t="shared" ca="1" si="308"/>
        <v>23</v>
      </c>
      <c r="Q686" s="304">
        <f t="shared" ca="1" si="309"/>
        <v>0</v>
      </c>
      <c r="R686" s="306">
        <f t="shared" ca="1" si="310"/>
        <v>0</v>
      </c>
      <c r="S686" s="307">
        <f t="shared" ca="1" si="311"/>
        <v>2.9792999999999985</v>
      </c>
      <c r="T686" s="304">
        <f t="shared" ca="1" si="291"/>
        <v>29.226932999999988</v>
      </c>
      <c r="U686" s="311">
        <f t="shared" ca="1" si="292"/>
        <v>0</v>
      </c>
      <c r="V686" s="306">
        <f t="shared" ca="1" si="293"/>
        <v>1.2252983662151407</v>
      </c>
      <c r="W686" s="304">
        <f t="shared" ca="1" si="294"/>
        <v>27.451418593221742</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0.5713593477025416</v>
      </c>
      <c r="AH686" s="304">
        <f t="shared" ca="1" si="318"/>
        <v>-9.214030128345609</v>
      </c>
    </row>
    <row r="687" spans="1:34" x14ac:dyDescent="0.2">
      <c r="A687" s="347">
        <f t="shared" ca="1" si="296"/>
        <v>1E-4</v>
      </c>
      <c r="B687" s="304">
        <f t="shared" ca="1" si="297"/>
        <v>37.017900000000814</v>
      </c>
      <c r="D687" s="306">
        <f t="shared" ca="1" si="298"/>
        <v>-0.65225116747145062</v>
      </c>
      <c r="E687" s="307">
        <f t="shared" ca="1" si="299"/>
        <v>-0.61906521183144569</v>
      </c>
      <c r="F687" s="304">
        <f t="shared" ca="1" si="300"/>
        <v>0.89926265460530663</v>
      </c>
      <c r="G687" s="306">
        <f t="shared" ca="1" si="301"/>
        <v>7.4043257655263028</v>
      </c>
      <c r="H687" s="307">
        <f t="shared" ca="1" si="302"/>
        <v>-104.33605720250765</v>
      </c>
      <c r="I687" s="304">
        <f t="shared" ca="1" si="303"/>
        <v>104.59845540258701</v>
      </c>
      <c r="J687" s="306">
        <f t="shared" ca="1" si="304"/>
        <v>839.7136314269211</v>
      </c>
      <c r="K687" s="307">
        <f t="shared" ca="1" si="305"/>
        <v>-2.4457795935816704</v>
      </c>
      <c r="L687" s="304">
        <f t="shared" ca="1" si="290"/>
        <v>839.71719325139907</v>
      </c>
      <c r="M687" s="306">
        <f t="shared" ca="1" si="306"/>
        <v>-1.4999489752431743</v>
      </c>
      <c r="N687" s="304">
        <f t="shared" ca="1" si="307"/>
        <v>-85.940745766406692</v>
      </c>
      <c r="P687" s="310">
        <f t="shared" ca="1" si="308"/>
        <v>23</v>
      </c>
      <c r="Q687" s="304">
        <f t="shared" ca="1" si="309"/>
        <v>0</v>
      </c>
      <c r="R687" s="306">
        <f t="shared" ca="1" si="310"/>
        <v>0</v>
      </c>
      <c r="S687" s="307">
        <f t="shared" ca="1" si="311"/>
        <v>2.9792999999999985</v>
      </c>
      <c r="T687" s="304">
        <f t="shared" ca="1" si="291"/>
        <v>29.226932999999988</v>
      </c>
      <c r="U687" s="311">
        <f t="shared" ca="1" si="292"/>
        <v>0</v>
      </c>
      <c r="V687" s="306">
        <f t="shared" ca="1" si="293"/>
        <v>1.2252996446434516</v>
      </c>
      <c r="W687" s="304">
        <f t="shared" ca="1" si="294"/>
        <v>27.45147722418049</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0.57134012901477327</v>
      </c>
      <c r="AH687" s="304">
        <f t="shared" ca="1" si="318"/>
        <v>-9.2140498080830255</v>
      </c>
    </row>
    <row r="688" spans="1:34" x14ac:dyDescent="0.2">
      <c r="A688" s="347">
        <f t="shared" ca="1" si="296"/>
        <v>1E-4</v>
      </c>
      <c r="B688" s="304">
        <f t="shared" ca="1" si="297"/>
        <v>37.018000000000818</v>
      </c>
      <c r="D688" s="306">
        <f t="shared" ca="1" si="298"/>
        <v>-0.65224645860436825</v>
      </c>
      <c r="E688" s="307">
        <f t="shared" ca="1" si="299"/>
        <v>-0.61904514872582084</v>
      </c>
      <c r="F688" s="304">
        <f t="shared" ca="1" si="300"/>
        <v>0.89924542752405123</v>
      </c>
      <c r="G688" s="306">
        <f t="shared" ca="1" si="301"/>
        <v>7.4042605408804425</v>
      </c>
      <c r="H688" s="307">
        <f t="shared" ca="1" si="302"/>
        <v>-104.33611910702253</v>
      </c>
      <c r="I688" s="304">
        <f t="shared" ca="1" si="303"/>
        <v>104.59851253470113</v>
      </c>
      <c r="J688" s="306">
        <f t="shared" ca="1" si="304"/>
        <v>839.7136314269211</v>
      </c>
      <c r="K688" s="307">
        <f t="shared" ca="1" si="305"/>
        <v>-2.456213202397147</v>
      </c>
      <c r="L688" s="304">
        <f t="shared" ca="1" si="290"/>
        <v>839.71722370538691</v>
      </c>
      <c r="M688" s="306">
        <f t="shared" ca="1" si="306"/>
        <v>-1.4999496391448204</v>
      </c>
      <c r="N688" s="304">
        <f t="shared" ca="1" si="307"/>
        <v>-85.940783805169019</v>
      </c>
      <c r="P688" s="310">
        <f t="shared" ca="1" si="308"/>
        <v>23</v>
      </c>
      <c r="Q688" s="304">
        <f t="shared" ca="1" si="309"/>
        <v>0</v>
      </c>
      <c r="R688" s="306">
        <f t="shared" ca="1" si="310"/>
        <v>0</v>
      </c>
      <c r="S688" s="307">
        <f t="shared" ca="1" si="311"/>
        <v>2.9792999999999985</v>
      </c>
      <c r="T688" s="304">
        <f t="shared" ca="1" si="291"/>
        <v>29.226932999999988</v>
      </c>
      <c r="U688" s="311">
        <f t="shared" ca="1" si="292"/>
        <v>0</v>
      </c>
      <c r="V688" s="306">
        <f t="shared" ca="1" si="293"/>
        <v>1.225300923073855</v>
      </c>
      <c r="W688" s="304">
        <f t="shared" ca="1" si="294"/>
        <v>27.451535854256317</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0.57132091061448342</v>
      </c>
      <c r="AH688" s="304">
        <f t="shared" ca="1" si="318"/>
        <v>-9.2140694875240836</v>
      </c>
    </row>
    <row r="689" spans="1:34" x14ac:dyDescent="0.2">
      <c r="A689" s="347">
        <f t="shared" ca="1" si="296"/>
        <v>1E-4</v>
      </c>
      <c r="B689" s="304">
        <f t="shared" ca="1" si="297"/>
        <v>37.018100000000821</v>
      </c>
      <c r="D689" s="306">
        <f t="shared" ca="1" si="298"/>
        <v>-0.65224174975037152</v>
      </c>
      <c r="E689" s="307">
        <f t="shared" ca="1" si="299"/>
        <v>-0.61902508592229033</v>
      </c>
      <c r="F689" s="304">
        <f t="shared" ca="1" si="300"/>
        <v>0.89922820080251331</v>
      </c>
      <c r="G689" s="306">
        <f t="shared" ca="1" si="301"/>
        <v>7.4041953167054677</v>
      </c>
      <c r="H689" s="307">
        <f t="shared" ca="1" si="302"/>
        <v>-104.33618100953112</v>
      </c>
      <c r="I689" s="304">
        <f t="shared" ca="1" si="303"/>
        <v>104.59856966489343</v>
      </c>
      <c r="J689" s="306">
        <f t="shared" ca="1" si="304"/>
        <v>839.7136314269211</v>
      </c>
      <c r="K689" s="307">
        <f t="shared" ca="1" si="305"/>
        <v>-2.4666468174029745</v>
      </c>
      <c r="L689" s="304">
        <f t="shared" ca="1" si="290"/>
        <v>839.71725428903085</v>
      </c>
      <c r="M689" s="306">
        <f t="shared" ca="1" si="306"/>
        <v>-1.4999503030398929</v>
      </c>
      <c r="N689" s="304">
        <f t="shared" ca="1" si="307"/>
        <v>-85.940821843554716</v>
      </c>
      <c r="P689" s="310">
        <f t="shared" ca="1" si="308"/>
        <v>23</v>
      </c>
      <c r="Q689" s="304">
        <f t="shared" ca="1" si="309"/>
        <v>0</v>
      </c>
      <c r="R689" s="306">
        <f t="shared" ca="1" si="310"/>
        <v>0</v>
      </c>
      <c r="S689" s="307">
        <f t="shared" ca="1" si="311"/>
        <v>2.9792999999999985</v>
      </c>
      <c r="T689" s="304">
        <f t="shared" ca="1" si="291"/>
        <v>29.226932999999988</v>
      </c>
      <c r="U689" s="311">
        <f t="shared" ca="1" si="292"/>
        <v>0</v>
      </c>
      <c r="V689" s="306">
        <f t="shared" ca="1" si="293"/>
        <v>1.2253022015063513</v>
      </c>
      <c r="W689" s="304">
        <f t="shared" ca="1" si="294"/>
        <v>27.451594483449238</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0.57130169250166674</v>
      </c>
      <c r="AH689" s="304">
        <f t="shared" ca="1" si="318"/>
        <v>-9.2140891666687921</v>
      </c>
    </row>
    <row r="690" spans="1:34" x14ac:dyDescent="0.2">
      <c r="A690" s="347">
        <f t="shared" ca="1" si="296"/>
        <v>1E-4</v>
      </c>
      <c r="B690" s="304">
        <f t="shared" ca="1" si="297"/>
        <v>37.018200000000824</v>
      </c>
      <c r="D690" s="306">
        <f t="shared" ca="1" si="298"/>
        <v>-0.65223704090946366</v>
      </c>
      <c r="E690" s="307">
        <f t="shared" ca="1" si="299"/>
        <v>-0.61900502342085417</v>
      </c>
      <c r="F690" s="304">
        <f t="shared" ca="1" si="300"/>
        <v>0.89921097444069575</v>
      </c>
      <c r="G690" s="306">
        <f t="shared" ca="1" si="301"/>
        <v>7.4041300930013767</v>
      </c>
      <c r="H690" s="307">
        <f t="shared" ca="1" si="302"/>
        <v>-104.33624291003346</v>
      </c>
      <c r="I690" s="304">
        <f t="shared" ca="1" si="303"/>
        <v>104.59862679316396</v>
      </c>
      <c r="J690" s="306">
        <f t="shared" ca="1" si="304"/>
        <v>839.7136314269211</v>
      </c>
      <c r="K690" s="307">
        <f t="shared" ca="1" si="305"/>
        <v>-2.4770804385989527</v>
      </c>
      <c r="L690" s="304">
        <f t="shared" ca="1" si="290"/>
        <v>839.71728500233121</v>
      </c>
      <c r="M690" s="306">
        <f t="shared" ca="1" si="306"/>
        <v>-1.4999509669283919</v>
      </c>
      <c r="N690" s="304">
        <f t="shared" ca="1" si="307"/>
        <v>-85.940859881563782</v>
      </c>
      <c r="P690" s="310">
        <f t="shared" ca="1" si="308"/>
        <v>23</v>
      </c>
      <c r="Q690" s="304">
        <f t="shared" ca="1" si="309"/>
        <v>0</v>
      </c>
      <c r="R690" s="306">
        <f t="shared" ca="1" si="310"/>
        <v>0</v>
      </c>
      <c r="S690" s="307">
        <f t="shared" ca="1" si="311"/>
        <v>2.9792999999999985</v>
      </c>
      <c r="T690" s="304">
        <f t="shared" ca="1" si="291"/>
        <v>29.226932999999988</v>
      </c>
      <c r="U690" s="311">
        <f t="shared" ca="1" si="292"/>
        <v>0</v>
      </c>
      <c r="V690" s="306">
        <f t="shared" ca="1" si="293"/>
        <v>1.2253034799409397</v>
      </c>
      <c r="W690" s="304">
        <f t="shared" ca="1" si="294"/>
        <v>27.451653111759267</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0.57128247467631965</v>
      </c>
      <c r="AH690" s="304">
        <f t="shared" ca="1" si="318"/>
        <v>-9.2141088455171527</v>
      </c>
    </row>
    <row r="691" spans="1:34" x14ac:dyDescent="0.2">
      <c r="A691" s="347">
        <f t="shared" ca="1" si="296"/>
        <v>1E-4</v>
      </c>
      <c r="B691" s="304">
        <f t="shared" ca="1" si="297"/>
        <v>37.018300000000828</v>
      </c>
      <c r="D691" s="306">
        <f t="shared" ca="1" si="298"/>
        <v>-0.65223233208164366</v>
      </c>
      <c r="E691" s="307">
        <f t="shared" ca="1" si="299"/>
        <v>-0.61898496122150526</v>
      </c>
      <c r="F691" s="304">
        <f t="shared" ca="1" si="300"/>
        <v>0.89919374843859312</v>
      </c>
      <c r="G691" s="306">
        <f t="shared" ca="1" si="301"/>
        <v>7.4040648697681686</v>
      </c>
      <c r="H691" s="307">
        <f t="shared" ca="1" si="302"/>
        <v>-104.33630480852959</v>
      </c>
      <c r="I691" s="304">
        <f t="shared" ca="1" si="303"/>
        <v>104.59868391951272</v>
      </c>
      <c r="J691" s="306">
        <f t="shared" ca="1" si="304"/>
        <v>839.7136314269211</v>
      </c>
      <c r="K691" s="307">
        <f t="shared" ca="1" si="305"/>
        <v>-2.4875140659848807</v>
      </c>
      <c r="L691" s="304">
        <f t="shared" ca="1" si="290"/>
        <v>839.71731584528823</v>
      </c>
      <c r="M691" s="306">
        <f t="shared" ca="1" si="306"/>
        <v>-1.4999516308103176</v>
      </c>
      <c r="N691" s="304">
        <f t="shared" ca="1" si="307"/>
        <v>-85.940897919196217</v>
      </c>
      <c r="P691" s="310">
        <f t="shared" ca="1" si="308"/>
        <v>23</v>
      </c>
      <c r="Q691" s="304">
        <f t="shared" ca="1" si="309"/>
        <v>0</v>
      </c>
      <c r="R691" s="306">
        <f t="shared" ca="1" si="310"/>
        <v>0</v>
      </c>
      <c r="S691" s="307">
        <f t="shared" ca="1" si="311"/>
        <v>2.9792999999999985</v>
      </c>
      <c r="T691" s="304">
        <f t="shared" ca="1" si="291"/>
        <v>29.226932999999988</v>
      </c>
      <c r="U691" s="311">
        <f t="shared" ca="1" si="292"/>
        <v>0</v>
      </c>
      <c r="V691" s="306">
        <f t="shared" ca="1" si="293"/>
        <v>1.2253047583776211</v>
      </c>
      <c r="W691" s="304">
        <f t="shared" ca="1" si="294"/>
        <v>27.451711739186401</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0.57126325713843684</v>
      </c>
      <c r="AH691" s="304">
        <f t="shared" ca="1" si="318"/>
        <v>-9.2141285240691708</v>
      </c>
    </row>
    <row r="692" spans="1:34" x14ac:dyDescent="0.2">
      <c r="A692" s="347">
        <f t="shared" ca="1" si="296"/>
        <v>1E-4</v>
      </c>
      <c r="B692" s="304">
        <f t="shared" ca="1" si="297"/>
        <v>37.018400000000831</v>
      </c>
      <c r="D692" s="306">
        <f t="shared" ca="1" si="298"/>
        <v>-0.65222762326691286</v>
      </c>
      <c r="E692" s="307">
        <f t="shared" ca="1" si="299"/>
        <v>-0.61896489932424537</v>
      </c>
      <c r="F692" s="304">
        <f t="shared" ca="1" si="300"/>
        <v>0.89917652279620774</v>
      </c>
      <c r="G692" s="306">
        <f t="shared" ca="1" si="301"/>
        <v>7.4039996470058416</v>
      </c>
      <c r="H692" s="307">
        <f t="shared" ca="1" si="302"/>
        <v>-104.33636670501953</v>
      </c>
      <c r="I692" s="304">
        <f t="shared" ca="1" si="303"/>
        <v>104.59874104393977</v>
      </c>
      <c r="J692" s="306">
        <f t="shared" ca="1" si="304"/>
        <v>839.7136314269211</v>
      </c>
      <c r="K692" s="307">
        <f t="shared" ca="1" si="305"/>
        <v>-2.4979476995605583</v>
      </c>
      <c r="L692" s="304">
        <f t="shared" ca="1" si="290"/>
        <v>839.71734681790213</v>
      </c>
      <c r="M692" s="306">
        <f t="shared" ca="1" si="306"/>
        <v>-1.4999522946856698</v>
      </c>
      <c r="N692" s="304">
        <f t="shared" ca="1" si="307"/>
        <v>-85.940935956452023</v>
      </c>
      <c r="P692" s="310">
        <f t="shared" ca="1" si="308"/>
        <v>23</v>
      </c>
      <c r="Q692" s="304">
        <f t="shared" ca="1" si="309"/>
        <v>0</v>
      </c>
      <c r="R692" s="306">
        <f t="shared" ca="1" si="310"/>
        <v>0</v>
      </c>
      <c r="S692" s="307">
        <f t="shared" ca="1" si="311"/>
        <v>2.9792999999999985</v>
      </c>
      <c r="T692" s="304">
        <f t="shared" ca="1" si="291"/>
        <v>29.226932999999988</v>
      </c>
      <c r="U692" s="311">
        <f t="shared" ca="1" si="292"/>
        <v>0</v>
      </c>
      <c r="V692" s="306">
        <f t="shared" ca="1" si="293"/>
        <v>1.2253060368163944</v>
      </c>
      <c r="W692" s="304">
        <f t="shared" ca="1" si="294"/>
        <v>27.451770365730649</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0.57124403988801831</v>
      </c>
      <c r="AH692" s="304">
        <f t="shared" ca="1" si="318"/>
        <v>-9.2141482023248464</v>
      </c>
    </row>
    <row r="693" spans="1:34" x14ac:dyDescent="0.2">
      <c r="A693" s="347">
        <f t="shared" ca="1" si="296"/>
        <v>1E-4</v>
      </c>
      <c r="B693" s="304">
        <f t="shared" ca="1" si="297"/>
        <v>37.018500000000834</v>
      </c>
      <c r="D693" s="306">
        <f t="shared" ca="1" si="298"/>
        <v>-0.65222291446527214</v>
      </c>
      <c r="E693" s="307">
        <f t="shared" ca="1" si="299"/>
        <v>-0.61894483772907094</v>
      </c>
      <c r="F693" s="304">
        <f t="shared" ca="1" si="300"/>
        <v>0.89915929751353829</v>
      </c>
      <c r="G693" s="306">
        <f t="shared" ca="1" si="301"/>
        <v>7.4039344247143948</v>
      </c>
      <c r="H693" s="307">
        <f t="shared" ca="1" si="302"/>
        <v>-104.33642859950331</v>
      </c>
      <c r="I693" s="304">
        <f t="shared" ca="1" si="303"/>
        <v>104.59879816644512</v>
      </c>
      <c r="J693" s="306">
        <f t="shared" ca="1" si="304"/>
        <v>839.7136314269211</v>
      </c>
      <c r="K693" s="307">
        <f t="shared" ca="1" si="305"/>
        <v>-2.5083813393257843</v>
      </c>
      <c r="L693" s="304">
        <f t="shared" ca="1" si="290"/>
        <v>839.71737792017302</v>
      </c>
      <c r="M693" s="306">
        <f t="shared" ca="1" si="306"/>
        <v>-1.4999529585544491</v>
      </c>
      <c r="N693" s="304">
        <f t="shared" ca="1" si="307"/>
        <v>-85.940973993331227</v>
      </c>
      <c r="P693" s="310">
        <f t="shared" ca="1" si="308"/>
        <v>23</v>
      </c>
      <c r="Q693" s="304">
        <f t="shared" ca="1" si="309"/>
        <v>0</v>
      </c>
      <c r="R693" s="306">
        <f t="shared" ca="1" si="310"/>
        <v>0</v>
      </c>
      <c r="S693" s="307">
        <f t="shared" ca="1" si="311"/>
        <v>2.9792999999999985</v>
      </c>
      <c r="T693" s="304">
        <f t="shared" ca="1" si="291"/>
        <v>29.226932999999988</v>
      </c>
      <c r="U693" s="311">
        <f t="shared" ca="1" si="292"/>
        <v>0</v>
      </c>
      <c r="V693" s="306">
        <f t="shared" ca="1" si="293"/>
        <v>1.2253073152572602</v>
      </c>
      <c r="W693" s="304">
        <f t="shared" ca="1" si="294"/>
        <v>27.451828991392034</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0.57122482292506582</v>
      </c>
      <c r="AH693" s="304">
        <f t="shared" ca="1" si="318"/>
        <v>-9.2141678802841813</v>
      </c>
    </row>
    <row r="694" spans="1:34" x14ac:dyDescent="0.2">
      <c r="A694" s="347">
        <f t="shared" ca="1" si="296"/>
        <v>1E-4</v>
      </c>
      <c r="B694" s="304">
        <f t="shared" ca="1" si="297"/>
        <v>37.018600000000838</v>
      </c>
      <c r="D694" s="306">
        <f t="shared" ca="1" si="298"/>
        <v>-0.65221820567671906</v>
      </c>
      <c r="E694" s="307">
        <f t="shared" ca="1" si="299"/>
        <v>-0.6189247764359731</v>
      </c>
      <c r="F694" s="304">
        <f t="shared" ca="1" si="300"/>
        <v>0.89914207259057688</v>
      </c>
      <c r="G694" s="306">
        <f t="shared" ca="1" si="301"/>
        <v>7.4038692028938273</v>
      </c>
      <c r="H694" s="307">
        <f t="shared" ca="1" si="302"/>
        <v>-104.33649049198095</v>
      </c>
      <c r="I694" s="304">
        <f t="shared" ca="1" si="303"/>
        <v>104.5988552870288</v>
      </c>
      <c r="J694" s="306">
        <f t="shared" ca="1" si="304"/>
        <v>839.7136314269211</v>
      </c>
      <c r="K694" s="307">
        <f t="shared" ca="1" si="305"/>
        <v>-2.5188149852803585</v>
      </c>
      <c r="L694" s="304">
        <f t="shared" ca="1" si="290"/>
        <v>839.71740915210114</v>
      </c>
      <c r="M694" s="306">
        <f t="shared" ca="1" si="306"/>
        <v>-1.499953622416655</v>
      </c>
      <c r="N694" s="304">
        <f t="shared" ca="1" si="307"/>
        <v>-85.9410120298338</v>
      </c>
      <c r="P694" s="310">
        <f t="shared" ca="1" si="308"/>
        <v>23</v>
      </c>
      <c r="Q694" s="304">
        <f t="shared" ca="1" si="309"/>
        <v>0</v>
      </c>
      <c r="R694" s="306">
        <f t="shared" ca="1" si="310"/>
        <v>0</v>
      </c>
      <c r="S694" s="307">
        <f t="shared" ca="1" si="311"/>
        <v>2.9792999999999985</v>
      </c>
      <c r="T694" s="304">
        <f t="shared" ca="1" si="291"/>
        <v>29.226932999999988</v>
      </c>
      <c r="U694" s="311">
        <f t="shared" ca="1" si="292"/>
        <v>0</v>
      </c>
      <c r="V694" s="306">
        <f t="shared" ca="1" si="293"/>
        <v>1.2253085937002186</v>
      </c>
      <c r="W694" s="304">
        <f t="shared" ca="1" si="294"/>
        <v>27.451887616170549</v>
      </c>
      <c r="Y694" s="314" t="str">
        <f t="shared" ca="1" si="312"/>
        <v/>
      </c>
      <c r="Z694" s="315" t="str">
        <f t="shared" ca="1" si="313"/>
        <v/>
      </c>
      <c r="AA694" s="316" t="str">
        <f t="shared" ca="1" si="314"/>
        <v/>
      </c>
      <c r="AC694" s="310" t="e">
        <f t="shared" ca="1" si="315"/>
        <v>#N/A</v>
      </c>
      <c r="AD694" s="323" t="e">
        <f t="shared" ca="1" si="316"/>
        <v>#N/A</v>
      </c>
      <c r="AE694" s="324" t="e">
        <f t="shared" ca="1" si="295"/>
        <v>#N/A</v>
      </c>
      <c r="AG694" s="306">
        <f t="shared" ca="1" si="317"/>
        <v>0.57120560624956518</v>
      </c>
      <c r="AH694" s="304">
        <f t="shared" ca="1" si="318"/>
        <v>-9.2141875579471844</v>
      </c>
    </row>
    <row r="695" spans="1:34" x14ac:dyDescent="0.2">
      <c r="A695" s="347">
        <f t="shared" ca="1" si="296"/>
        <v>1E-4</v>
      </c>
      <c r="B695" s="304">
        <f t="shared" ca="1" si="297"/>
        <v>37.018700000000841</v>
      </c>
      <c r="D695" s="306">
        <f t="shared" ca="1" si="298"/>
        <v>-0.65221349690125863</v>
      </c>
      <c r="E695" s="307">
        <f t="shared" ca="1" si="299"/>
        <v>-0.6189047154449554</v>
      </c>
      <c r="F695" s="304">
        <f t="shared" ca="1" si="300"/>
        <v>0.89912484802732995</v>
      </c>
      <c r="G695" s="306">
        <f t="shared" ca="1" si="301"/>
        <v>7.4038039815441374</v>
      </c>
      <c r="H695" s="307">
        <f t="shared" ca="1" si="302"/>
        <v>-104.3365523824525</v>
      </c>
      <c r="I695" s="304">
        <f t="shared" ca="1" si="303"/>
        <v>104.59891240569083</v>
      </c>
      <c r="J695" s="306">
        <f t="shared" ca="1" si="304"/>
        <v>839.7136314269211</v>
      </c>
      <c r="K695" s="307">
        <f t="shared" ca="1" si="305"/>
        <v>-2.5292486374240801</v>
      </c>
      <c r="L695" s="304">
        <f t="shared" ca="1" si="290"/>
        <v>839.71744051368671</v>
      </c>
      <c r="M695" s="306">
        <f t="shared" ca="1" si="306"/>
        <v>-1.4999542862722879</v>
      </c>
      <c r="N695" s="304">
        <f t="shared" ca="1" si="307"/>
        <v>-85.941050065959772</v>
      </c>
      <c r="P695" s="310">
        <f t="shared" ca="1" si="308"/>
        <v>23</v>
      </c>
      <c r="Q695" s="304">
        <f t="shared" ca="1" si="309"/>
        <v>0</v>
      </c>
      <c r="R695" s="306">
        <f t="shared" ca="1" si="310"/>
        <v>0</v>
      </c>
      <c r="S695" s="307">
        <f t="shared" ca="1" si="311"/>
        <v>2.9792999999999985</v>
      </c>
      <c r="T695" s="304">
        <f t="shared" ca="1" si="291"/>
        <v>29.226932999999988</v>
      </c>
      <c r="U695" s="311">
        <f t="shared" ca="1" si="292"/>
        <v>0</v>
      </c>
      <c r="V695" s="306">
        <f t="shared" ca="1" si="293"/>
        <v>1.2253098721452695</v>
      </c>
      <c r="W695" s="304">
        <f t="shared" ca="1" si="294"/>
        <v>27.451946240066217</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0.5711863898615217</v>
      </c>
      <c r="AH695" s="304">
        <f t="shared" ca="1" si="318"/>
        <v>-9.2142072353138538</v>
      </c>
    </row>
    <row r="696" spans="1:34" x14ac:dyDescent="0.2">
      <c r="A696" s="347">
        <f t="shared" ca="1" si="296"/>
        <v>1E-4</v>
      </c>
      <c r="B696" s="304">
        <f t="shared" ca="1" si="297"/>
        <v>37.018800000000844</v>
      </c>
      <c r="D696" s="306">
        <f t="shared" ca="1" si="298"/>
        <v>-0.65220878813888805</v>
      </c>
      <c r="E696" s="307">
        <f t="shared" ca="1" si="299"/>
        <v>-0.61888465475600896</v>
      </c>
      <c r="F696" s="304">
        <f t="shared" ca="1" si="300"/>
        <v>0.89910762382378961</v>
      </c>
      <c r="G696" s="306">
        <f t="shared" ca="1" si="301"/>
        <v>7.4037387606653233</v>
      </c>
      <c r="H696" s="307">
        <f t="shared" ca="1" si="302"/>
        <v>-104.33661427091798</v>
      </c>
      <c r="I696" s="304">
        <f t="shared" ca="1" si="303"/>
        <v>104.59896952243126</v>
      </c>
      <c r="J696" s="306">
        <f t="shared" ca="1" si="304"/>
        <v>839.7136314269211</v>
      </c>
      <c r="K696" s="307">
        <f t="shared" ca="1" si="305"/>
        <v>-2.5396822957567489</v>
      </c>
      <c r="L696" s="304">
        <f t="shared" ca="1" si="290"/>
        <v>839.71747200493007</v>
      </c>
      <c r="M696" s="306">
        <f t="shared" ca="1" si="306"/>
        <v>-1.4999549501213481</v>
      </c>
      <c r="N696" s="304">
        <f t="shared" ca="1" si="307"/>
        <v>-85.941088101709155</v>
      </c>
      <c r="P696" s="310">
        <f t="shared" ca="1" si="308"/>
        <v>23</v>
      </c>
      <c r="Q696" s="304">
        <f t="shared" ca="1" si="309"/>
        <v>0</v>
      </c>
      <c r="R696" s="306">
        <f t="shared" ca="1" si="310"/>
        <v>0</v>
      </c>
      <c r="S696" s="307">
        <f t="shared" ca="1" si="311"/>
        <v>2.9792999999999985</v>
      </c>
      <c r="T696" s="304">
        <f t="shared" ca="1" si="291"/>
        <v>29.226932999999988</v>
      </c>
      <c r="U696" s="311">
        <f t="shared" ca="1" si="292"/>
        <v>0</v>
      </c>
      <c r="V696" s="306">
        <f t="shared" ca="1" si="293"/>
        <v>1.2253111505924126</v>
      </c>
      <c r="W696" s="304">
        <f t="shared" ca="1" si="294"/>
        <v>27.452004863079054</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0.57116717376093007</v>
      </c>
      <c r="AH696" s="304">
        <f t="shared" ca="1" si="318"/>
        <v>-9.2142269123841949</v>
      </c>
    </row>
    <row r="697" spans="1:34" x14ac:dyDescent="0.2">
      <c r="A697" s="347">
        <f t="shared" ca="1" si="296"/>
        <v>1E-4</v>
      </c>
      <c r="B697" s="304">
        <f t="shared" ca="1" si="297"/>
        <v>37.018900000000848</v>
      </c>
      <c r="D697" s="306">
        <f t="shared" ca="1" si="298"/>
        <v>-0.65220407938960689</v>
      </c>
      <c r="E697" s="307">
        <f t="shared" ca="1" si="299"/>
        <v>-0.61886459436913022</v>
      </c>
      <c r="F697" s="304">
        <f t="shared" ca="1" si="300"/>
        <v>0.89909039997995344</v>
      </c>
      <c r="G697" s="306">
        <f t="shared" ca="1" si="301"/>
        <v>7.4036735402573841</v>
      </c>
      <c r="H697" s="307">
        <f t="shared" ca="1" si="302"/>
        <v>-104.33667615737741</v>
      </c>
      <c r="I697" s="304">
        <f t="shared" ca="1" si="303"/>
        <v>104.59902663725009</v>
      </c>
      <c r="J697" s="306">
        <f t="shared" ca="1" si="304"/>
        <v>839.7136314269211</v>
      </c>
      <c r="K697" s="307">
        <f t="shared" ca="1" si="305"/>
        <v>-2.5501159602781636</v>
      </c>
      <c r="L697" s="304">
        <f t="shared" ca="1" si="290"/>
        <v>839.71750362583123</v>
      </c>
      <c r="M697" s="306">
        <f t="shared" ca="1" si="306"/>
        <v>-1.499955613963835</v>
      </c>
      <c r="N697" s="304">
        <f t="shared" ca="1" si="307"/>
        <v>-85.941126137081923</v>
      </c>
      <c r="P697" s="310">
        <f t="shared" ca="1" si="308"/>
        <v>23</v>
      </c>
      <c r="Q697" s="304">
        <f t="shared" ca="1" si="309"/>
        <v>0</v>
      </c>
      <c r="R697" s="306">
        <f t="shared" ca="1" si="310"/>
        <v>0</v>
      </c>
      <c r="S697" s="307">
        <f t="shared" ca="1" si="311"/>
        <v>2.9792999999999985</v>
      </c>
      <c r="T697" s="304">
        <f t="shared" ca="1" si="291"/>
        <v>29.226932999999988</v>
      </c>
      <c r="U697" s="311">
        <f t="shared" ca="1" si="292"/>
        <v>0</v>
      </c>
      <c r="V697" s="306">
        <f t="shared" ca="1" si="293"/>
        <v>1.2253124290416484</v>
      </c>
      <c r="W697" s="304">
        <f t="shared" ca="1" si="294"/>
        <v>27.452063485209049</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0.57114795794778495</v>
      </c>
      <c r="AH697" s="304">
        <f t="shared" ca="1" si="318"/>
        <v>-9.2142465891582148</v>
      </c>
    </row>
    <row r="698" spans="1:34" x14ac:dyDescent="0.2">
      <c r="A698" s="347">
        <f t="shared" ca="1" si="296"/>
        <v>1E-4</v>
      </c>
      <c r="B698" s="304">
        <f t="shared" ca="1" si="297"/>
        <v>37.019000000000851</v>
      </c>
      <c r="D698" s="306">
        <f t="shared" ca="1" si="298"/>
        <v>-0.65219937065341971</v>
      </c>
      <c r="E698" s="307">
        <f t="shared" ca="1" si="299"/>
        <v>-0.61884453428432273</v>
      </c>
      <c r="F698" s="304">
        <f t="shared" ca="1" si="300"/>
        <v>0.8990731764958273</v>
      </c>
      <c r="G698" s="306">
        <f t="shared" ca="1" si="301"/>
        <v>7.4036083203203189</v>
      </c>
      <c r="H698" s="307">
        <f t="shared" ca="1" si="302"/>
        <v>-104.33673804183084</v>
      </c>
      <c r="I698" s="304">
        <f t="shared" ca="1" si="303"/>
        <v>104.59908375014739</v>
      </c>
      <c r="J698" s="306">
        <f t="shared" ca="1" si="304"/>
        <v>839.7136314269211</v>
      </c>
      <c r="K698" s="307">
        <f t="shared" ca="1" si="305"/>
        <v>-2.5605496309881239</v>
      </c>
      <c r="L698" s="304">
        <f t="shared" ca="1" si="290"/>
        <v>839.71753537639063</v>
      </c>
      <c r="M698" s="306">
        <f t="shared" ca="1" si="306"/>
        <v>-1.4999562777997493</v>
      </c>
      <c r="N698" s="304">
        <f t="shared" ca="1" si="307"/>
        <v>-85.941164172078089</v>
      </c>
      <c r="P698" s="310">
        <f t="shared" ca="1" si="308"/>
        <v>23</v>
      </c>
      <c r="Q698" s="304">
        <f t="shared" ca="1" si="309"/>
        <v>0</v>
      </c>
      <c r="R698" s="306">
        <f t="shared" ca="1" si="310"/>
        <v>0</v>
      </c>
      <c r="S698" s="307">
        <f t="shared" ca="1" si="311"/>
        <v>2.9792999999999985</v>
      </c>
      <c r="T698" s="304">
        <f t="shared" ca="1" si="291"/>
        <v>29.226932999999988</v>
      </c>
      <c r="U698" s="311">
        <f t="shared" ca="1" si="292"/>
        <v>0</v>
      </c>
      <c r="V698" s="306">
        <f t="shared" ca="1" si="293"/>
        <v>1.2253137074929763</v>
      </c>
      <c r="W698" s="304">
        <f t="shared" ca="1" si="294"/>
        <v>27.452122106456233</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0.57112874242208811</v>
      </c>
      <c r="AH698" s="304">
        <f t="shared" ca="1" si="318"/>
        <v>-9.2142662656359082</v>
      </c>
    </row>
    <row r="699" spans="1:34" x14ac:dyDescent="0.2">
      <c r="A699" s="347">
        <f t="shared" ca="1" si="296"/>
        <v>1E-4</v>
      </c>
      <c r="B699" s="304">
        <f t="shared" ca="1" si="297"/>
        <v>37.019100000000854</v>
      </c>
      <c r="D699" s="306">
        <f t="shared" ca="1" si="298"/>
        <v>-0.65219466193032438</v>
      </c>
      <c r="E699" s="307">
        <f t="shared" ca="1" si="299"/>
        <v>-0.61882447450157407</v>
      </c>
      <c r="F699" s="304">
        <f t="shared" ca="1" si="300"/>
        <v>0.89905595337140132</v>
      </c>
      <c r="G699" s="306">
        <f t="shared" ca="1" si="301"/>
        <v>7.4035431008541259</v>
      </c>
      <c r="H699" s="307">
        <f t="shared" ca="1" si="302"/>
        <v>-104.3367999242783</v>
      </c>
      <c r="I699" s="304">
        <f t="shared" ca="1" si="303"/>
        <v>104.59914086112316</v>
      </c>
      <c r="J699" s="306">
        <f t="shared" ca="1" si="304"/>
        <v>839.7136314269211</v>
      </c>
      <c r="K699" s="307">
        <f t="shared" ca="1" si="305"/>
        <v>-2.5709833078864293</v>
      </c>
      <c r="L699" s="304">
        <f t="shared" ca="1" si="290"/>
        <v>839.71756725660828</v>
      </c>
      <c r="M699" s="306">
        <f t="shared" ca="1" si="306"/>
        <v>-1.4999569416290908</v>
      </c>
      <c r="N699" s="304">
        <f t="shared" ca="1" si="307"/>
        <v>-85.941202206697682</v>
      </c>
      <c r="P699" s="310">
        <f t="shared" ca="1" si="308"/>
        <v>23</v>
      </c>
      <c r="Q699" s="304">
        <f t="shared" ca="1" si="309"/>
        <v>0</v>
      </c>
      <c r="R699" s="306">
        <f t="shared" ca="1" si="310"/>
        <v>0</v>
      </c>
      <c r="S699" s="307">
        <f t="shared" ca="1" si="311"/>
        <v>2.9792999999999985</v>
      </c>
      <c r="T699" s="304">
        <f t="shared" ca="1" si="291"/>
        <v>29.226932999999988</v>
      </c>
      <c r="U699" s="311">
        <f t="shared" ca="1" si="292"/>
        <v>0</v>
      </c>
      <c r="V699" s="306">
        <f t="shared" ca="1" si="293"/>
        <v>1.2253149859463968</v>
      </c>
      <c r="W699" s="304">
        <f t="shared" ca="1" si="294"/>
        <v>27.452180726820611</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0.57110952718383068</v>
      </c>
      <c r="AH699" s="304">
        <f t="shared" ca="1" si="318"/>
        <v>-9.2142859418172876</v>
      </c>
    </row>
    <row r="700" spans="1:34" x14ac:dyDescent="0.2">
      <c r="A700" s="347">
        <f t="shared" ca="1" si="296"/>
        <v>1E-4</v>
      </c>
      <c r="B700" s="304">
        <f t="shared" ca="1" si="297"/>
        <v>37.019200000000858</v>
      </c>
      <c r="D700" s="306">
        <f t="shared" ca="1" si="298"/>
        <v>-0.65218995322032192</v>
      </c>
      <c r="E700" s="307">
        <f t="shared" ca="1" si="299"/>
        <v>-0.61880441502088246</v>
      </c>
      <c r="F700" s="304">
        <f t="shared" ca="1" si="300"/>
        <v>0.89903873060667538</v>
      </c>
      <c r="G700" s="306">
        <f t="shared" ca="1" si="301"/>
        <v>7.4034778818588043</v>
      </c>
      <c r="H700" s="307">
        <f t="shared" ca="1" si="302"/>
        <v>-104.3368618047198</v>
      </c>
      <c r="I700" s="304">
        <f t="shared" ca="1" si="303"/>
        <v>104.59919797017744</v>
      </c>
      <c r="J700" s="306">
        <f t="shared" ca="1" si="304"/>
        <v>839.7136314269211</v>
      </c>
      <c r="K700" s="307">
        <f t="shared" ca="1" si="305"/>
        <v>-2.5814169909728792</v>
      </c>
      <c r="L700" s="304">
        <f t="shared" ca="1" si="290"/>
        <v>839.71759926648463</v>
      </c>
      <c r="M700" s="306">
        <f t="shared" ca="1" si="306"/>
        <v>-1.4999576054518597</v>
      </c>
      <c r="N700" s="304">
        <f t="shared" ca="1" si="307"/>
        <v>-85.941240240940687</v>
      </c>
      <c r="P700" s="310">
        <f t="shared" ca="1" si="308"/>
        <v>23</v>
      </c>
      <c r="Q700" s="304">
        <f t="shared" ca="1" si="309"/>
        <v>0</v>
      </c>
      <c r="R700" s="306">
        <f t="shared" ca="1" si="310"/>
        <v>0</v>
      </c>
      <c r="S700" s="307">
        <f t="shared" ca="1" si="311"/>
        <v>2.9792999999999985</v>
      </c>
      <c r="T700" s="304">
        <f t="shared" ca="1" si="291"/>
        <v>29.226932999999988</v>
      </c>
      <c r="U700" s="311">
        <f t="shared" ca="1" si="292"/>
        <v>0</v>
      </c>
      <c r="V700" s="306">
        <f t="shared" ca="1" si="293"/>
        <v>1.2253162644019091</v>
      </c>
      <c r="W700" s="304">
        <f t="shared" ca="1" si="294"/>
        <v>27.452239346302186</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0.57109031223300732</v>
      </c>
      <c r="AH700" s="304">
        <f t="shared" ca="1" si="318"/>
        <v>-9.2143056177023546</v>
      </c>
    </row>
    <row r="701" spans="1:34" x14ac:dyDescent="0.2">
      <c r="A701" s="347">
        <f t="shared" ca="1" si="296"/>
        <v>1E-4</v>
      </c>
      <c r="B701" s="304">
        <f t="shared" ca="1" si="297"/>
        <v>37.019300000000861</v>
      </c>
      <c r="D701" s="306">
        <f t="shared" ca="1" si="298"/>
        <v>-0.65218524452341153</v>
      </c>
      <c r="E701" s="307">
        <f t="shared" ca="1" si="299"/>
        <v>-0.61878435584224789</v>
      </c>
      <c r="F701" s="304">
        <f t="shared" ca="1" si="300"/>
        <v>0.89902150820164906</v>
      </c>
      <c r="G701" s="306">
        <f t="shared" ca="1" si="301"/>
        <v>7.4034126633343522</v>
      </c>
      <c r="H701" s="307">
        <f t="shared" ca="1" si="302"/>
        <v>-104.33692368315539</v>
      </c>
      <c r="I701" s="304">
        <f t="shared" ca="1" si="303"/>
        <v>104.59925507731023</v>
      </c>
      <c r="J701" s="306">
        <f t="shared" ca="1" si="304"/>
        <v>839.7136314269211</v>
      </c>
      <c r="K701" s="307">
        <f t="shared" ca="1" si="305"/>
        <v>-2.5918506802472732</v>
      </c>
      <c r="L701" s="304">
        <f t="shared" ca="1" si="290"/>
        <v>839.71763140601968</v>
      </c>
      <c r="M701" s="306">
        <f t="shared" ca="1" si="306"/>
        <v>-1.4999582692680562</v>
      </c>
      <c r="N701" s="304">
        <f t="shared" ca="1" si="307"/>
        <v>-85.941278274807118</v>
      </c>
      <c r="P701" s="310">
        <f t="shared" ca="1" si="308"/>
        <v>23</v>
      </c>
      <c r="Q701" s="304">
        <f t="shared" ca="1" si="309"/>
        <v>0</v>
      </c>
      <c r="R701" s="306">
        <f t="shared" ca="1" si="310"/>
        <v>0</v>
      </c>
      <c r="S701" s="307">
        <f t="shared" ca="1" si="311"/>
        <v>2.9792999999999985</v>
      </c>
      <c r="T701" s="304">
        <f t="shared" ca="1" si="291"/>
        <v>29.226932999999988</v>
      </c>
      <c r="U701" s="311">
        <f t="shared" ca="1" si="292"/>
        <v>0</v>
      </c>
      <c r="V701" s="306">
        <f t="shared" ca="1" si="293"/>
        <v>1.2253175428595144</v>
      </c>
      <c r="W701" s="304">
        <f t="shared" ca="1" si="294"/>
        <v>27.452297964900964</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0.5710710975696216</v>
      </c>
      <c r="AH701" s="304">
        <f t="shared" ca="1" si="318"/>
        <v>-9.2143252932911093</v>
      </c>
    </row>
    <row r="702" spans="1:34" x14ac:dyDescent="0.2">
      <c r="A702" s="347">
        <f t="shared" ca="1" si="296"/>
        <v>1E-4</v>
      </c>
      <c r="B702" s="304">
        <f t="shared" ca="1" si="297"/>
        <v>37.019400000000864</v>
      </c>
      <c r="D702" s="306">
        <f t="shared" ca="1" si="298"/>
        <v>-0.6521805358395939</v>
      </c>
      <c r="E702" s="307">
        <f t="shared" ca="1" si="299"/>
        <v>-0.61876429696566859</v>
      </c>
      <c r="F702" s="304">
        <f t="shared" ca="1" si="300"/>
        <v>0.89900428615632189</v>
      </c>
      <c r="G702" s="306">
        <f t="shared" ca="1" si="301"/>
        <v>7.4033474452807679</v>
      </c>
      <c r="H702" s="307">
        <f t="shared" ca="1" si="302"/>
        <v>-104.33698555958509</v>
      </c>
      <c r="I702" s="304">
        <f t="shared" ca="1" si="303"/>
        <v>104.5993121825216</v>
      </c>
      <c r="J702" s="306">
        <f t="shared" ca="1" si="304"/>
        <v>839.7136314269211</v>
      </c>
      <c r="K702" s="307">
        <f t="shared" ca="1" si="305"/>
        <v>-2.6022843757094103</v>
      </c>
      <c r="L702" s="304">
        <f t="shared" ca="1" si="290"/>
        <v>839.71766367521366</v>
      </c>
      <c r="M702" s="306">
        <f t="shared" ca="1" si="306"/>
        <v>-1.4999589330776799</v>
      </c>
      <c r="N702" s="304">
        <f t="shared" ca="1" si="307"/>
        <v>-85.941316308296948</v>
      </c>
      <c r="P702" s="310">
        <f t="shared" ca="1" si="308"/>
        <v>23</v>
      </c>
      <c r="Q702" s="304">
        <f t="shared" ca="1" si="309"/>
        <v>0</v>
      </c>
      <c r="R702" s="306">
        <f t="shared" ca="1" si="310"/>
        <v>0</v>
      </c>
      <c r="S702" s="307">
        <f t="shared" ca="1" si="311"/>
        <v>2.9792999999999985</v>
      </c>
      <c r="T702" s="304">
        <f t="shared" ca="1" si="291"/>
        <v>29.226932999999988</v>
      </c>
      <c r="U702" s="311">
        <f t="shared" ca="1" si="292"/>
        <v>0</v>
      </c>
      <c r="V702" s="306">
        <f t="shared" ca="1" si="293"/>
        <v>1.2253188213192114</v>
      </c>
      <c r="W702" s="304">
        <f t="shared" ca="1" si="294"/>
        <v>27.452356582616968</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0.5710518831936735</v>
      </c>
      <c r="AH702" s="304">
        <f t="shared" ca="1" si="318"/>
        <v>-9.2143449685835517</v>
      </c>
    </row>
    <row r="703" spans="1:34" x14ac:dyDescent="0.2">
      <c r="A703" s="347">
        <f t="shared" ca="1" si="296"/>
        <v>1E-4</v>
      </c>
      <c r="B703" s="304">
        <f t="shared" ca="1" si="297"/>
        <v>37.019500000000868</v>
      </c>
      <c r="D703" s="306">
        <f t="shared" ca="1" si="298"/>
        <v>-0.6521758271688729</v>
      </c>
      <c r="E703" s="307">
        <f t="shared" ca="1" si="299"/>
        <v>-0.61874423839113568</v>
      </c>
      <c r="F703" s="304">
        <f t="shared" ca="1" si="300"/>
        <v>0.89898706447069088</v>
      </c>
      <c r="G703" s="306">
        <f t="shared" ca="1" si="301"/>
        <v>7.4032822276980514</v>
      </c>
      <c r="H703" s="307">
        <f t="shared" ca="1" si="302"/>
        <v>-104.33704743400892</v>
      </c>
      <c r="I703" s="304">
        <f t="shared" ca="1" si="303"/>
        <v>104.59936928581156</v>
      </c>
      <c r="J703" s="306">
        <f t="shared" ca="1" si="304"/>
        <v>839.7136314269211</v>
      </c>
      <c r="K703" s="307">
        <f t="shared" ca="1" si="305"/>
        <v>-2.6127180773590899</v>
      </c>
      <c r="L703" s="304">
        <f t="shared" ca="1" si="290"/>
        <v>839.71769607406679</v>
      </c>
      <c r="M703" s="306">
        <f t="shared" ca="1" si="306"/>
        <v>-1.4999595968807313</v>
      </c>
      <c r="N703" s="304">
        <f t="shared" ca="1" si="307"/>
        <v>-85.941354341410232</v>
      </c>
      <c r="P703" s="310">
        <f t="shared" ca="1" si="308"/>
        <v>23</v>
      </c>
      <c r="Q703" s="304">
        <f t="shared" ca="1" si="309"/>
        <v>0</v>
      </c>
      <c r="R703" s="306">
        <f t="shared" ca="1" si="310"/>
        <v>0</v>
      </c>
      <c r="S703" s="307">
        <f t="shared" ca="1" si="311"/>
        <v>2.9792999999999985</v>
      </c>
      <c r="T703" s="304">
        <f t="shared" ca="1" si="291"/>
        <v>29.226932999999988</v>
      </c>
      <c r="U703" s="311">
        <f t="shared" ca="1" si="292"/>
        <v>0</v>
      </c>
      <c r="V703" s="306">
        <f t="shared" ca="1" si="293"/>
        <v>1.2253200997810008</v>
      </c>
      <c r="W703" s="304">
        <f t="shared" ca="1" si="294"/>
        <v>27.452415199450201</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0.57103266910514883</v>
      </c>
      <c r="AH703" s="304">
        <f t="shared" ca="1" si="318"/>
        <v>-9.2143646435796942</v>
      </c>
    </row>
    <row r="704" spans="1:34" x14ac:dyDescent="0.2">
      <c r="A704" s="347">
        <f t="shared" ca="1" si="296"/>
        <v>1E-4</v>
      </c>
      <c r="B704" s="304">
        <f t="shared" ca="1" si="297"/>
        <v>37.019600000000871</v>
      </c>
      <c r="D704" s="306">
        <f t="shared" ca="1" si="298"/>
        <v>-0.65217111851124543</v>
      </c>
      <c r="E704" s="307">
        <f t="shared" ca="1" si="299"/>
        <v>-0.61872418011865093</v>
      </c>
      <c r="F704" s="304">
        <f t="shared" ca="1" si="300"/>
        <v>0.89896984314475525</v>
      </c>
      <c r="G704" s="306">
        <f t="shared" ca="1" si="301"/>
        <v>7.4032170105862001</v>
      </c>
      <c r="H704" s="307">
        <f t="shared" ca="1" si="302"/>
        <v>-104.33710930642694</v>
      </c>
      <c r="I704" s="304">
        <f t="shared" ca="1" si="303"/>
        <v>104.59942638718013</v>
      </c>
      <c r="J704" s="306">
        <f t="shared" ca="1" si="304"/>
        <v>839.7136314269211</v>
      </c>
      <c r="K704" s="307">
        <f t="shared" ca="1" si="305"/>
        <v>-2.6231517851961117</v>
      </c>
      <c r="L704" s="304">
        <f t="shared" ca="1" si="290"/>
        <v>839.71772860257943</v>
      </c>
      <c r="M704" s="306">
        <f t="shared" ca="1" si="306"/>
        <v>-1.4999602606772104</v>
      </c>
      <c r="N704" s="304">
        <f t="shared" ca="1" si="307"/>
        <v>-85.941392374146929</v>
      </c>
      <c r="P704" s="310">
        <f t="shared" ca="1" si="308"/>
        <v>23</v>
      </c>
      <c r="Q704" s="304">
        <f t="shared" ca="1" si="309"/>
        <v>0</v>
      </c>
      <c r="R704" s="306">
        <f t="shared" ca="1" si="310"/>
        <v>0</v>
      </c>
      <c r="S704" s="307">
        <f t="shared" ca="1" si="311"/>
        <v>2.9792999999999985</v>
      </c>
      <c r="T704" s="304">
        <f t="shared" ca="1" si="291"/>
        <v>29.226932999999988</v>
      </c>
      <c r="U704" s="311">
        <f t="shared" ca="1" si="292"/>
        <v>0</v>
      </c>
      <c r="V704" s="306">
        <f t="shared" ca="1" si="293"/>
        <v>1.2253213782448824</v>
      </c>
      <c r="W704" s="304">
        <f t="shared" ca="1" si="294"/>
        <v>27.452473815400669</v>
      </c>
      <c r="Y704" s="314" t="str">
        <f t="shared" ca="1" si="312"/>
        <v/>
      </c>
      <c r="Z704" s="315" t="str">
        <f t="shared" ca="1" si="313"/>
        <v/>
      </c>
      <c r="AA704" s="316" t="str">
        <f t="shared" ca="1" si="314"/>
        <v/>
      </c>
      <c r="AC704" s="310" t="e">
        <f t="shared" ca="1" si="315"/>
        <v>#N/A</v>
      </c>
      <c r="AD704" s="323" t="e">
        <f t="shared" ca="1" si="316"/>
        <v>#N/A</v>
      </c>
      <c r="AE704" s="324" t="e">
        <f t="shared" ca="1" si="295"/>
        <v>#N/A</v>
      </c>
      <c r="AG704" s="306">
        <f t="shared" ca="1" si="317"/>
        <v>0.57101345530405112</v>
      </c>
      <c r="AH704" s="304">
        <f t="shared" ca="1" si="318"/>
        <v>-9.2143843182795333</v>
      </c>
    </row>
    <row r="705" spans="1:34" x14ac:dyDescent="0.2">
      <c r="A705" s="347">
        <f t="shared" ca="1" si="296"/>
        <v>1E-4</v>
      </c>
      <c r="B705" s="304">
        <f t="shared" ca="1" si="297"/>
        <v>37.019700000000874</v>
      </c>
      <c r="D705" s="306">
        <f t="shared" ca="1" si="298"/>
        <v>-0.6521664098667127</v>
      </c>
      <c r="E705" s="307">
        <f t="shared" ca="1" si="299"/>
        <v>-0.61870412214820902</v>
      </c>
      <c r="F705" s="304">
        <f t="shared" ca="1" si="300"/>
        <v>0.89895262217851224</v>
      </c>
      <c r="G705" s="306">
        <f t="shared" ca="1" si="301"/>
        <v>7.4031517939452138</v>
      </c>
      <c r="H705" s="307">
        <f t="shared" ca="1" si="302"/>
        <v>-104.33717117683915</v>
      </c>
      <c r="I705" s="304">
        <f t="shared" ca="1" si="303"/>
        <v>104.59948348662735</v>
      </c>
      <c r="J705" s="306">
        <f t="shared" ca="1" si="304"/>
        <v>839.7136314269211</v>
      </c>
      <c r="K705" s="307">
        <f t="shared" ca="1" si="305"/>
        <v>-2.633585499220275</v>
      </c>
      <c r="L705" s="304">
        <f t="shared" ca="1" si="290"/>
        <v>839.71776126075167</v>
      </c>
      <c r="M705" s="306">
        <f t="shared" ca="1" si="306"/>
        <v>-1.4999609244671173</v>
      </c>
      <c r="N705" s="304">
        <f t="shared" ca="1" si="307"/>
        <v>-85.941430406507081</v>
      </c>
      <c r="P705" s="310">
        <f t="shared" ca="1" si="308"/>
        <v>23</v>
      </c>
      <c r="Q705" s="304">
        <f t="shared" ca="1" si="309"/>
        <v>0</v>
      </c>
      <c r="R705" s="306">
        <f t="shared" ca="1" si="310"/>
        <v>0</v>
      </c>
      <c r="S705" s="307">
        <f t="shared" ca="1" si="311"/>
        <v>2.9792999999999985</v>
      </c>
      <c r="T705" s="304">
        <f t="shared" ca="1" si="291"/>
        <v>29.226932999999988</v>
      </c>
      <c r="U705" s="311">
        <f t="shared" ca="1" si="292"/>
        <v>0</v>
      </c>
      <c r="V705" s="306">
        <f t="shared" ca="1" si="293"/>
        <v>1.2253226567108564</v>
      </c>
      <c r="W705" s="304">
        <f t="shared" ca="1" si="294"/>
        <v>27.452532430468388</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0.57099424179037861</v>
      </c>
      <c r="AH705" s="304">
        <f t="shared" ca="1" si="318"/>
        <v>-9.2144039926830743</v>
      </c>
    </row>
    <row r="706" spans="1:34" x14ac:dyDescent="0.2">
      <c r="A706" s="347">
        <f t="shared" ca="1" si="296"/>
        <v>1E-4</v>
      </c>
      <c r="B706" s="304">
        <f t="shared" ca="1" si="297"/>
        <v>37.019800000000878</v>
      </c>
      <c r="D706" s="306">
        <f t="shared" ca="1" si="298"/>
        <v>-0.65216170123527606</v>
      </c>
      <c r="E706" s="307">
        <f t="shared" ca="1" si="299"/>
        <v>-0.61868406447980462</v>
      </c>
      <c r="F706" s="304">
        <f t="shared" ca="1" si="300"/>
        <v>0.89893540157195972</v>
      </c>
      <c r="G706" s="306">
        <f t="shared" ca="1" si="301"/>
        <v>7.40308657777509</v>
      </c>
      <c r="H706" s="307">
        <f t="shared" ca="1" si="302"/>
        <v>-104.3372330452456</v>
      </c>
      <c r="I706" s="304">
        <f t="shared" ca="1" si="303"/>
        <v>104.59954058415326</v>
      </c>
      <c r="J706" s="306">
        <f t="shared" ca="1" si="304"/>
        <v>839.7136314269211</v>
      </c>
      <c r="K706" s="307">
        <f t="shared" ca="1" si="305"/>
        <v>-2.6440192194313794</v>
      </c>
      <c r="L706" s="304">
        <f t="shared" ca="1" si="290"/>
        <v>839.71779404858376</v>
      </c>
      <c r="M706" s="306">
        <f t="shared" ca="1" si="306"/>
        <v>-1.499961588250452</v>
      </c>
      <c r="N706" s="304">
        <f t="shared" ca="1" si="307"/>
        <v>-85.941468438490674</v>
      </c>
      <c r="P706" s="310">
        <f t="shared" ca="1" si="308"/>
        <v>23</v>
      </c>
      <c r="Q706" s="304">
        <f t="shared" ca="1" si="309"/>
        <v>0</v>
      </c>
      <c r="R706" s="306">
        <f t="shared" ca="1" si="310"/>
        <v>0</v>
      </c>
      <c r="S706" s="307">
        <f t="shared" ca="1" si="311"/>
        <v>2.9792999999999985</v>
      </c>
      <c r="T706" s="304">
        <f t="shared" ca="1" si="291"/>
        <v>29.226932999999988</v>
      </c>
      <c r="U706" s="311">
        <f t="shared" ca="1" si="292"/>
        <v>0</v>
      </c>
      <c r="V706" s="306">
        <f t="shared" ca="1" si="293"/>
        <v>1.2253239351789225</v>
      </c>
      <c r="W706" s="304">
        <f t="shared" ca="1" si="294"/>
        <v>27.452591044653378</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0.57097502856412419</v>
      </c>
      <c r="AH706" s="304">
        <f t="shared" ca="1" si="318"/>
        <v>-9.2144236667903208</v>
      </c>
    </row>
    <row r="707" spans="1:34" x14ac:dyDescent="0.2">
      <c r="A707" s="347">
        <f t="shared" ca="1" si="296"/>
        <v>1E-4</v>
      </c>
      <c r="B707" s="304">
        <f t="shared" ca="1" si="297"/>
        <v>37.019900000000881</v>
      </c>
      <c r="D707" s="306">
        <f t="shared" ca="1" si="298"/>
        <v>-0.65215699261693483</v>
      </c>
      <c r="E707" s="307">
        <f t="shared" ca="1" si="299"/>
        <v>-0.61866400711343239</v>
      </c>
      <c r="F707" s="304">
        <f t="shared" ca="1" si="300"/>
        <v>0.8989181813250936</v>
      </c>
      <c r="G707" s="306">
        <f t="shared" ca="1" si="301"/>
        <v>7.4030213620758287</v>
      </c>
      <c r="H707" s="307">
        <f t="shared" ca="1" si="302"/>
        <v>-104.33729491164631</v>
      </c>
      <c r="I707" s="304">
        <f t="shared" ca="1" si="303"/>
        <v>104.59959767975786</v>
      </c>
      <c r="J707" s="306">
        <f t="shared" ca="1" si="304"/>
        <v>839.7136314269211</v>
      </c>
      <c r="K707" s="307">
        <f t="shared" ca="1" si="305"/>
        <v>-2.6544529458292239</v>
      </c>
      <c r="L707" s="304">
        <f t="shared" ca="1" si="290"/>
        <v>839.71782696607602</v>
      </c>
      <c r="M707" s="306">
        <f t="shared" ca="1" si="306"/>
        <v>-1.4999622520272147</v>
      </c>
      <c r="N707" s="304">
        <f t="shared" ca="1" si="307"/>
        <v>-85.941506470097707</v>
      </c>
      <c r="P707" s="310">
        <f t="shared" ca="1" si="308"/>
        <v>23</v>
      </c>
      <c r="Q707" s="304">
        <f t="shared" ca="1" si="309"/>
        <v>0</v>
      </c>
      <c r="R707" s="306">
        <f t="shared" ca="1" si="310"/>
        <v>0</v>
      </c>
      <c r="S707" s="307">
        <f t="shared" ca="1" si="311"/>
        <v>2.9792999999999985</v>
      </c>
      <c r="T707" s="304">
        <f t="shared" ca="1" si="291"/>
        <v>29.226932999999988</v>
      </c>
      <c r="U707" s="311">
        <f t="shared" ca="1" si="292"/>
        <v>0</v>
      </c>
      <c r="V707" s="306">
        <f t="shared" ca="1" si="293"/>
        <v>1.2253252136490806</v>
      </c>
      <c r="W707" s="304">
        <f t="shared" ca="1" si="294"/>
        <v>27.452649657955636</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0.5709558156252843</v>
      </c>
      <c r="AH707" s="304">
        <f t="shared" ca="1" si="318"/>
        <v>-9.2144433406012798</v>
      </c>
    </row>
    <row r="708" spans="1:34" x14ac:dyDescent="0.2">
      <c r="A708" s="347">
        <f t="shared" ca="1" si="296"/>
        <v>1E-4</v>
      </c>
      <c r="B708" s="304">
        <f t="shared" ca="1" si="297"/>
        <v>37.020000000000884</v>
      </c>
      <c r="D708" s="306">
        <f t="shared" ca="1" si="298"/>
        <v>-0.6521522840116899</v>
      </c>
      <c r="E708" s="307">
        <f t="shared" ca="1" si="299"/>
        <v>-0.61864395004909412</v>
      </c>
      <c r="F708" s="304">
        <f t="shared" ca="1" si="300"/>
        <v>0.89890096143791609</v>
      </c>
      <c r="G708" s="306">
        <f t="shared" ca="1" si="301"/>
        <v>7.4029561468474272</v>
      </c>
      <c r="H708" s="307">
        <f t="shared" ca="1" si="302"/>
        <v>-104.33735677604132</v>
      </c>
      <c r="I708" s="304">
        <f t="shared" ca="1" si="303"/>
        <v>104.5996547734412</v>
      </c>
      <c r="J708" s="306">
        <f t="shared" ca="1" si="304"/>
        <v>839.7136314269211</v>
      </c>
      <c r="K708" s="307">
        <f t="shared" ca="1" si="305"/>
        <v>-2.664886678413608</v>
      </c>
      <c r="L708" s="304">
        <f t="shared" ref="L708:L771" ca="1" si="319">SQRT(pos_x^2+pos_z^2)</f>
        <v>839.71786001322846</v>
      </c>
      <c r="M708" s="306">
        <f t="shared" ca="1" si="306"/>
        <v>-1.4999629157974053</v>
      </c>
      <c r="N708" s="304">
        <f t="shared" ca="1" si="307"/>
        <v>-85.941544501328195</v>
      </c>
      <c r="P708" s="310">
        <f t="shared" ca="1" si="308"/>
        <v>23</v>
      </c>
      <c r="Q708" s="304">
        <f t="shared" ca="1" si="309"/>
        <v>0</v>
      </c>
      <c r="R708" s="306">
        <f t="shared" ca="1" si="310"/>
        <v>0</v>
      </c>
      <c r="S708" s="307">
        <f t="shared" ca="1" si="311"/>
        <v>2.9792999999999985</v>
      </c>
      <c r="T708" s="304">
        <f t="shared" ref="T708:T771" ca="1" si="320">m*g</f>
        <v>29.226932999999988</v>
      </c>
      <c r="U708" s="311">
        <f t="shared" ref="U708:U771" ca="1" si="321">IF(pos_xz&lt;L_rampe,Poids*COS(Beta),0)</f>
        <v>0</v>
      </c>
      <c r="V708" s="306">
        <f t="shared" ref="V708:V771" ca="1" si="322">Rho_moyen*(20000-Alt_rampe-pos_z)/(20000+Alt_rampe+pos_z)</f>
        <v>1.2253264921213309</v>
      </c>
      <c r="W708" s="304">
        <f t="shared" ref="W708:W771" ca="1" si="323">1/2*Rho*Sref*Cx*vit_xz^2</f>
        <v>27.452708270375165</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0.57093660297385718</v>
      </c>
      <c r="AH708" s="304">
        <f t="shared" ca="1" si="318"/>
        <v>-9.2144630141159496</v>
      </c>
    </row>
    <row r="709" spans="1:34" x14ac:dyDescent="0.2">
      <c r="A709" s="347">
        <f t="shared" ref="A709:A772" ca="1" si="325">IF(B708+0.01&lt;=T_ini+ROUNDUP(Temps_fin_propu,0), 0.01, IF(K708&gt;0, 0.1, 0.0001))</f>
        <v>1E-4</v>
      </c>
      <c r="B709" s="304">
        <f t="shared" ref="B709:B772" ca="1" si="326">B708+pas</f>
        <v>37.020100000000888</v>
      </c>
      <c r="D709" s="306">
        <f t="shared" ref="D709:D772" ca="1" si="327">IF(AND(L708&lt;L_rampe,Poussee&lt;Poids*SIN(M708)),0,(-W708+Poussee)/m*COS(M708)-U708/m*SIN(M708))</f>
        <v>-0.6521475754195426</v>
      </c>
      <c r="E709" s="307">
        <f t="shared" ref="E709:E772" ca="1" si="328">IF(AND(L708&lt;L_rampe,Poussee&lt;Poids*SIN(M708)),0,(-W708+Poussee)/m*SIN(M708)+U708/m*COS(M708)-Poids/m)</f>
        <v>-0.61862389328678624</v>
      </c>
      <c r="F709" s="304">
        <f t="shared" ref="F709:F772" ca="1" si="329">SQRT(acc_x^2+acc_z^2)</f>
        <v>0.89888374191042586</v>
      </c>
      <c r="G709" s="306">
        <f t="shared" ref="G709:G772" ca="1" si="330">G708+acc_x*pas</f>
        <v>7.4028909320898855</v>
      </c>
      <c r="H709" s="307">
        <f t="shared" ref="H709:H772" ca="1" si="331">H708+acc_z*pas</f>
        <v>-104.33741863843065</v>
      </c>
      <c r="I709" s="304">
        <f t="shared" ref="I709:I772" ca="1" si="332">SQRT(vit_x^2+vit_z^2)</f>
        <v>104.5997118652033</v>
      </c>
      <c r="J709" s="306">
        <f t="shared" ref="J709:J772" ca="1" si="333">J708+0.5*(vit_x+G708)*pas*(K708&gt;=0)</f>
        <v>839.7136314269211</v>
      </c>
      <c r="K709" s="307">
        <f t="shared" ref="K709:K772" ca="1" si="334">K708+0.5*(vit_z+H708)*pas</f>
        <v>-2.6753204171843317</v>
      </c>
      <c r="L709" s="304">
        <f t="shared" ca="1" si="319"/>
        <v>839.71789319004131</v>
      </c>
      <c r="M709" s="306">
        <f t="shared" ref="M709:M772" ca="1" si="335">IF(AND(L708&gt;L_rampe,G709&gt;0),ATAN2(G709,H709),$M$4)</f>
        <v>-1.499963579561024</v>
      </c>
      <c r="N709" s="304">
        <f t="shared" ref="N709:N772" ca="1" si="336">DEGREES(Beta)</f>
        <v>-85.941582532182139</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2.9792999999999985</v>
      </c>
      <c r="T709" s="304">
        <f t="shared" ca="1" si="320"/>
        <v>29.226932999999988</v>
      </c>
      <c r="U709" s="311">
        <f t="shared" ca="1" si="321"/>
        <v>0</v>
      </c>
      <c r="V709" s="306">
        <f t="shared" ca="1" si="322"/>
        <v>1.2253277705956733</v>
      </c>
      <c r="W709" s="304">
        <f t="shared" ca="1" si="323"/>
        <v>27.452766881911984</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0.57091739060984104</v>
      </c>
      <c r="AH709" s="304">
        <f t="shared" ref="AH709:AH772" ca="1" si="347">IF(AND(L708&lt;L_rampe,Poussee&lt;Poids*SIN(M708)), g*SIN(M708), (-W708+Poussee)/m)</f>
        <v>-9.2144826873343337</v>
      </c>
    </row>
    <row r="710" spans="1:34" x14ac:dyDescent="0.2">
      <c r="A710" s="347">
        <f t="shared" ca="1" si="325"/>
        <v>1E-4</v>
      </c>
      <c r="B710" s="304">
        <f t="shared" ca="1" si="326"/>
        <v>37.020200000000891</v>
      </c>
      <c r="D710" s="306">
        <f t="shared" ca="1" si="327"/>
        <v>-0.65214286684049205</v>
      </c>
      <c r="E710" s="307">
        <f t="shared" ca="1" si="328"/>
        <v>-0.61860383682650344</v>
      </c>
      <c r="F710" s="304">
        <f t="shared" ca="1" si="329"/>
        <v>0.89886652274261891</v>
      </c>
      <c r="G710" s="306">
        <f t="shared" ca="1" si="330"/>
        <v>7.4028257178032018</v>
      </c>
      <c r="H710" s="307">
        <f t="shared" ca="1" si="331"/>
        <v>-104.33748049881433</v>
      </c>
      <c r="I710" s="304">
        <f t="shared" ca="1" si="332"/>
        <v>104.5997689550442</v>
      </c>
      <c r="J710" s="306">
        <f t="shared" ca="1" si="333"/>
        <v>839.7136314269211</v>
      </c>
      <c r="K710" s="307">
        <f t="shared" ca="1" si="334"/>
        <v>-2.685754162141194</v>
      </c>
      <c r="L710" s="304">
        <f t="shared" ca="1" si="319"/>
        <v>839.71792649651502</v>
      </c>
      <c r="M710" s="306">
        <f t="shared" ca="1" si="335"/>
        <v>-1.4999642433180707</v>
      </c>
      <c r="N710" s="304">
        <f t="shared" ca="1" si="336"/>
        <v>-85.941620562659537</v>
      </c>
      <c r="P710" s="310">
        <f t="shared" ca="1" si="337"/>
        <v>23</v>
      </c>
      <c r="Q710" s="304">
        <f t="shared" ca="1" si="338"/>
        <v>0</v>
      </c>
      <c r="R710" s="306">
        <f t="shared" ca="1" si="339"/>
        <v>0</v>
      </c>
      <c r="S710" s="307">
        <f t="shared" ca="1" si="340"/>
        <v>2.9792999999999985</v>
      </c>
      <c r="T710" s="304">
        <f t="shared" ca="1" si="320"/>
        <v>29.226932999999988</v>
      </c>
      <c r="U710" s="311">
        <f t="shared" ca="1" si="321"/>
        <v>0</v>
      </c>
      <c r="V710" s="306">
        <f t="shared" ca="1" si="322"/>
        <v>1.2253290490721083</v>
      </c>
      <c r="W710" s="304">
        <f t="shared" ca="1" si="323"/>
        <v>27.452825492566117</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0.5708981785332341</v>
      </c>
      <c r="AH710" s="304">
        <f t="shared" ca="1" si="347"/>
        <v>-9.2145023602564358</v>
      </c>
    </row>
    <row r="711" spans="1:34" x14ac:dyDescent="0.2">
      <c r="A711" s="347">
        <f t="shared" ca="1" si="325"/>
        <v>1E-4</v>
      </c>
      <c r="B711" s="304">
        <f t="shared" ca="1" si="326"/>
        <v>37.020300000000894</v>
      </c>
      <c r="D711" s="306">
        <f t="shared" ca="1" si="327"/>
        <v>-0.6521381582745418</v>
      </c>
      <c r="E711" s="307">
        <f t="shared" ca="1" si="328"/>
        <v>-0.6185837806682386</v>
      </c>
      <c r="F711" s="304">
        <f t="shared" ca="1" si="329"/>
        <v>0.89884930393449314</v>
      </c>
      <c r="G711" s="306">
        <f t="shared" ca="1" si="330"/>
        <v>7.4027605039873743</v>
      </c>
      <c r="H711" s="307">
        <f t="shared" ca="1" si="331"/>
        <v>-104.33754235719239</v>
      </c>
      <c r="I711" s="304">
        <f t="shared" ca="1" si="332"/>
        <v>104.59982604296391</v>
      </c>
      <c r="J711" s="306">
        <f t="shared" ca="1" si="333"/>
        <v>839.7136314269211</v>
      </c>
      <c r="K711" s="307">
        <f t="shared" ca="1" si="334"/>
        <v>-2.6961879132839943</v>
      </c>
      <c r="L711" s="304">
        <f t="shared" ca="1" si="319"/>
        <v>839.71795993264959</v>
      </c>
      <c r="M711" s="306">
        <f t="shared" ca="1" si="335"/>
        <v>-1.4999649070685457</v>
      </c>
      <c r="N711" s="304">
        <f t="shared" ca="1" si="336"/>
        <v>-85.941658592760405</v>
      </c>
      <c r="P711" s="310">
        <f t="shared" ca="1" si="337"/>
        <v>23</v>
      </c>
      <c r="Q711" s="304">
        <f t="shared" ca="1" si="338"/>
        <v>0</v>
      </c>
      <c r="R711" s="306">
        <f t="shared" ca="1" si="339"/>
        <v>0</v>
      </c>
      <c r="S711" s="307">
        <f t="shared" ca="1" si="340"/>
        <v>2.9792999999999985</v>
      </c>
      <c r="T711" s="304">
        <f t="shared" ca="1" si="320"/>
        <v>29.226932999999988</v>
      </c>
      <c r="U711" s="311">
        <f t="shared" ca="1" si="321"/>
        <v>0</v>
      </c>
      <c r="V711" s="306">
        <f t="shared" ca="1" si="322"/>
        <v>1.2253303275506349</v>
      </c>
      <c r="W711" s="304">
        <f t="shared" ca="1" si="323"/>
        <v>27.452884102337549</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0.57087896674402749</v>
      </c>
      <c r="AH711" s="304">
        <f t="shared" ca="1" si="347"/>
        <v>-9.2145220328822646</v>
      </c>
    </row>
    <row r="712" spans="1:34" x14ac:dyDescent="0.2">
      <c r="A712" s="347">
        <f t="shared" ca="1" si="325"/>
        <v>1E-4</v>
      </c>
      <c r="B712" s="304">
        <f t="shared" ca="1" si="326"/>
        <v>37.020400000000897</v>
      </c>
      <c r="D712" s="306">
        <f t="shared" ca="1" si="327"/>
        <v>-0.65213344972168863</v>
      </c>
      <c r="E712" s="307">
        <f t="shared" ca="1" si="328"/>
        <v>-0.61856372481199351</v>
      </c>
      <c r="F712" s="304">
        <f t="shared" ca="1" si="329"/>
        <v>0.89883208548604776</v>
      </c>
      <c r="G712" s="306">
        <f t="shared" ca="1" si="330"/>
        <v>7.4026952906424022</v>
      </c>
      <c r="H712" s="307">
        <f t="shared" ca="1" si="331"/>
        <v>-104.33760421356487</v>
      </c>
      <c r="I712" s="304">
        <f t="shared" ca="1" si="332"/>
        <v>104.59988312896247</v>
      </c>
      <c r="J712" s="306">
        <f t="shared" ca="1" si="333"/>
        <v>839.7136314269211</v>
      </c>
      <c r="K712" s="307">
        <f t="shared" ca="1" si="334"/>
        <v>-2.7066216706125323</v>
      </c>
      <c r="L712" s="304">
        <f t="shared" ca="1" si="319"/>
        <v>839.71799349844525</v>
      </c>
      <c r="M712" s="306">
        <f t="shared" ca="1" si="335"/>
        <v>-1.4999655708124491</v>
      </c>
      <c r="N712" s="304">
        <f t="shared" ca="1" si="336"/>
        <v>-85.941696622484756</v>
      </c>
      <c r="P712" s="310">
        <f t="shared" ca="1" si="337"/>
        <v>23</v>
      </c>
      <c r="Q712" s="304">
        <f t="shared" ca="1" si="338"/>
        <v>0</v>
      </c>
      <c r="R712" s="306">
        <f t="shared" ca="1" si="339"/>
        <v>0</v>
      </c>
      <c r="S712" s="307">
        <f t="shared" ca="1" si="340"/>
        <v>2.9792999999999985</v>
      </c>
      <c r="T712" s="304">
        <f t="shared" ca="1" si="320"/>
        <v>29.226932999999988</v>
      </c>
      <c r="U712" s="311">
        <f t="shared" ca="1" si="321"/>
        <v>0</v>
      </c>
      <c r="V712" s="306">
        <f t="shared" ca="1" si="322"/>
        <v>1.2253316060312536</v>
      </c>
      <c r="W712" s="304">
        <f t="shared" ca="1" si="323"/>
        <v>27.452942711226303</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0.57085975524222299</v>
      </c>
      <c r="AH712" s="304">
        <f t="shared" ca="1" si="347"/>
        <v>-9.2145417052118166</v>
      </c>
    </row>
    <row r="713" spans="1:34" x14ac:dyDescent="0.2">
      <c r="A713" s="347">
        <f t="shared" ca="1" si="325"/>
        <v>1E-4</v>
      </c>
      <c r="B713" s="304">
        <f t="shared" ca="1" si="326"/>
        <v>37.020500000000901</v>
      </c>
      <c r="D713" s="306">
        <f t="shared" ca="1" si="327"/>
        <v>-0.65212874118193398</v>
      </c>
      <c r="E713" s="307">
        <f t="shared" ca="1" si="328"/>
        <v>-0.61854366925776461</v>
      </c>
      <c r="F713" s="304">
        <f t="shared" ca="1" si="329"/>
        <v>0.89881486739728145</v>
      </c>
      <c r="G713" s="306">
        <f t="shared" ca="1" si="330"/>
        <v>7.4026300777682836</v>
      </c>
      <c r="H713" s="307">
        <f t="shared" ca="1" si="331"/>
        <v>-104.33766606793179</v>
      </c>
      <c r="I713" s="304">
        <f t="shared" ca="1" si="332"/>
        <v>104.59994021303991</v>
      </c>
      <c r="J713" s="306">
        <f t="shared" ca="1" si="333"/>
        <v>839.7136314269211</v>
      </c>
      <c r="K713" s="307">
        <f t="shared" ca="1" si="334"/>
        <v>-2.7170554341266073</v>
      </c>
      <c r="L713" s="304">
        <f t="shared" ca="1" si="319"/>
        <v>839.71802719390234</v>
      </c>
      <c r="M713" s="306">
        <f t="shared" ca="1" si="335"/>
        <v>-1.4999662345497808</v>
      </c>
      <c r="N713" s="304">
        <f t="shared" ca="1" si="336"/>
        <v>-85.941734651832562</v>
      </c>
      <c r="P713" s="310">
        <f t="shared" ca="1" si="337"/>
        <v>23</v>
      </c>
      <c r="Q713" s="304">
        <f t="shared" ca="1" si="338"/>
        <v>0</v>
      </c>
      <c r="R713" s="306">
        <f t="shared" ca="1" si="339"/>
        <v>0</v>
      </c>
      <c r="S713" s="307">
        <f t="shared" ca="1" si="340"/>
        <v>2.9792999999999985</v>
      </c>
      <c r="T713" s="304">
        <f t="shared" ca="1" si="320"/>
        <v>29.226932999999988</v>
      </c>
      <c r="U713" s="311">
        <f t="shared" ca="1" si="321"/>
        <v>0</v>
      </c>
      <c r="V713" s="306">
        <f t="shared" ca="1" si="322"/>
        <v>1.2253328845139646</v>
      </c>
      <c r="W713" s="304">
        <f t="shared" ca="1" si="323"/>
        <v>27.453001319232392</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0.57084054402781526</v>
      </c>
      <c r="AH713" s="304">
        <f t="shared" ca="1" si="347"/>
        <v>-9.2145613772450972</v>
      </c>
    </row>
    <row r="714" spans="1:34" x14ac:dyDescent="0.2">
      <c r="A714" s="347">
        <f t="shared" ca="1" si="325"/>
        <v>1E-4</v>
      </c>
      <c r="B714" s="304">
        <f t="shared" ca="1" si="326"/>
        <v>37.020600000000904</v>
      </c>
      <c r="D714" s="306">
        <f t="shared" ca="1" si="327"/>
        <v>-0.65212403265527907</v>
      </c>
      <c r="E714" s="307">
        <f t="shared" ca="1" si="328"/>
        <v>-0.61852361400554479</v>
      </c>
      <c r="F714" s="304">
        <f t="shared" ca="1" si="329"/>
        <v>0.89879764966819065</v>
      </c>
      <c r="G714" s="306">
        <f t="shared" ca="1" si="330"/>
        <v>7.4025648653650178</v>
      </c>
      <c r="H714" s="307">
        <f t="shared" ca="1" si="331"/>
        <v>-104.33772792029319</v>
      </c>
      <c r="I714" s="304">
        <f t="shared" ca="1" si="332"/>
        <v>104.59999729519626</v>
      </c>
      <c r="J714" s="306">
        <f t="shared" ca="1" si="333"/>
        <v>839.7136314269211</v>
      </c>
      <c r="K714" s="307">
        <f t="shared" ca="1" si="334"/>
        <v>-2.7274892038260186</v>
      </c>
      <c r="L714" s="304">
        <f t="shared" ca="1" si="319"/>
        <v>839.71806101902098</v>
      </c>
      <c r="M714" s="306">
        <f t="shared" ca="1" si="335"/>
        <v>-1.4999668982805412</v>
      </c>
      <c r="N714" s="304">
        <f t="shared" ca="1" si="336"/>
        <v>-85.941772680803865</v>
      </c>
      <c r="P714" s="310">
        <f t="shared" ca="1" si="337"/>
        <v>23</v>
      </c>
      <c r="Q714" s="304">
        <f t="shared" ca="1" si="338"/>
        <v>0</v>
      </c>
      <c r="R714" s="306">
        <f t="shared" ca="1" si="339"/>
        <v>0</v>
      </c>
      <c r="S714" s="307">
        <f t="shared" ca="1" si="340"/>
        <v>2.9792999999999985</v>
      </c>
      <c r="T714" s="304">
        <f t="shared" ca="1" si="320"/>
        <v>29.226932999999988</v>
      </c>
      <c r="U714" s="311">
        <f t="shared" ca="1" si="321"/>
        <v>0</v>
      </c>
      <c r="V714" s="306">
        <f t="shared" ca="1" si="322"/>
        <v>1.2253341629987673</v>
      </c>
      <c r="W714" s="304">
        <f t="shared" ca="1" si="323"/>
        <v>27.453059926355817</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0.57082133310080074</v>
      </c>
      <c r="AH714" s="304">
        <f t="shared" ca="1" si="347"/>
        <v>-9.2145810489821116</v>
      </c>
    </row>
    <row r="715" spans="1:34" x14ac:dyDescent="0.2">
      <c r="A715" s="347">
        <f t="shared" ca="1" si="325"/>
        <v>1E-4</v>
      </c>
      <c r="B715" s="304">
        <f t="shared" ca="1" si="326"/>
        <v>37.020700000000907</v>
      </c>
      <c r="D715" s="306">
        <f t="shared" ca="1" si="327"/>
        <v>-0.65211932414172302</v>
      </c>
      <c r="E715" s="307">
        <f t="shared" ca="1" si="328"/>
        <v>-0.61850355905533405</v>
      </c>
      <c r="F715" s="304">
        <f t="shared" ca="1" si="329"/>
        <v>0.89878043229877491</v>
      </c>
      <c r="G715" s="306">
        <f t="shared" ca="1" si="330"/>
        <v>7.4024996534326037</v>
      </c>
      <c r="H715" s="307">
        <f t="shared" ca="1" si="331"/>
        <v>-104.3377897706491</v>
      </c>
      <c r="I715" s="304">
        <f t="shared" ca="1" si="332"/>
        <v>104.60005437543155</v>
      </c>
      <c r="J715" s="306">
        <f t="shared" ca="1" si="333"/>
        <v>839.7136314269211</v>
      </c>
      <c r="K715" s="307">
        <f t="shared" ca="1" si="334"/>
        <v>-2.7379229797105658</v>
      </c>
      <c r="L715" s="304">
        <f t="shared" ca="1" si="319"/>
        <v>839.71809497380127</v>
      </c>
      <c r="M715" s="306">
        <f t="shared" ca="1" si="335"/>
        <v>-1.4999675620047299</v>
      </c>
      <c r="N715" s="304">
        <f t="shared" ca="1" si="336"/>
        <v>-85.941810709398638</v>
      </c>
      <c r="P715" s="310">
        <f t="shared" ca="1" si="337"/>
        <v>23</v>
      </c>
      <c r="Q715" s="304">
        <f t="shared" ca="1" si="338"/>
        <v>0</v>
      </c>
      <c r="R715" s="306">
        <f t="shared" ca="1" si="339"/>
        <v>0</v>
      </c>
      <c r="S715" s="307">
        <f t="shared" ca="1" si="340"/>
        <v>2.9792999999999985</v>
      </c>
      <c r="T715" s="304">
        <f t="shared" ca="1" si="320"/>
        <v>29.226932999999988</v>
      </c>
      <c r="U715" s="311">
        <f t="shared" ca="1" si="321"/>
        <v>0</v>
      </c>
      <c r="V715" s="306">
        <f t="shared" ca="1" si="322"/>
        <v>1.2253354414856623</v>
      </c>
      <c r="W715" s="304">
        <f t="shared" ca="1" si="323"/>
        <v>27.453118532596601</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0.5708021224611759</v>
      </c>
      <c r="AH715" s="304">
        <f t="shared" ca="1" si="347"/>
        <v>-9.2146007204228617</v>
      </c>
    </row>
    <row r="716" spans="1:34" x14ac:dyDescent="0.2">
      <c r="A716" s="347">
        <f t="shared" ca="1" si="325"/>
        <v>1E-4</v>
      </c>
      <c r="B716" s="304">
        <f t="shared" ca="1" si="326"/>
        <v>37.020800000000911</v>
      </c>
      <c r="D716" s="306">
        <f t="shared" ca="1" si="327"/>
        <v>-0.65211461564126927</v>
      </c>
      <c r="E716" s="307">
        <f t="shared" ca="1" si="328"/>
        <v>-0.6184835044071253</v>
      </c>
      <c r="F716" s="304">
        <f t="shared" ca="1" si="329"/>
        <v>0.89876321528903202</v>
      </c>
      <c r="G716" s="306">
        <f t="shared" ca="1" si="330"/>
        <v>7.4024344419710397</v>
      </c>
      <c r="H716" s="307">
        <f t="shared" ca="1" si="331"/>
        <v>-104.33785161899954</v>
      </c>
      <c r="I716" s="304">
        <f t="shared" ca="1" si="332"/>
        <v>104.60011145374581</v>
      </c>
      <c r="J716" s="306">
        <f t="shared" ca="1" si="333"/>
        <v>839.7136314269211</v>
      </c>
      <c r="K716" s="307">
        <f t="shared" ca="1" si="334"/>
        <v>-2.7483567617800482</v>
      </c>
      <c r="L716" s="304">
        <f t="shared" ca="1" si="319"/>
        <v>839.71812905824368</v>
      </c>
      <c r="M716" s="306">
        <f t="shared" ca="1" si="335"/>
        <v>-1.4999682257223474</v>
      </c>
      <c r="N716" s="304">
        <f t="shared" ca="1" si="336"/>
        <v>-85.941848737616922</v>
      </c>
      <c r="P716" s="310">
        <f t="shared" ca="1" si="337"/>
        <v>23</v>
      </c>
      <c r="Q716" s="304">
        <f t="shared" ca="1" si="338"/>
        <v>0</v>
      </c>
      <c r="R716" s="306">
        <f t="shared" ca="1" si="339"/>
        <v>0</v>
      </c>
      <c r="S716" s="307">
        <f t="shared" ca="1" si="340"/>
        <v>2.9792999999999985</v>
      </c>
      <c r="T716" s="304">
        <f t="shared" ca="1" si="320"/>
        <v>29.226932999999988</v>
      </c>
      <c r="U716" s="311">
        <f t="shared" ca="1" si="321"/>
        <v>0</v>
      </c>
      <c r="V716" s="306">
        <f t="shared" ca="1" si="322"/>
        <v>1.2253367199746488</v>
      </c>
      <c r="W716" s="304">
        <f t="shared" ca="1" si="323"/>
        <v>27.453177137954739</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0.57078291210893894</v>
      </c>
      <c r="AH716" s="304">
        <f t="shared" ca="1" si="347"/>
        <v>-9.2146203915673528</v>
      </c>
    </row>
    <row r="717" spans="1:34" x14ac:dyDescent="0.2">
      <c r="A717" s="347">
        <f t="shared" ca="1" si="325"/>
        <v>1E-4</v>
      </c>
      <c r="B717" s="304">
        <f t="shared" ca="1" si="326"/>
        <v>37.020900000000914</v>
      </c>
      <c r="D717" s="306">
        <f t="shared" ca="1" si="327"/>
        <v>-0.65210990715391448</v>
      </c>
      <c r="E717" s="307">
        <f t="shared" ca="1" si="328"/>
        <v>-0.61846345006092029</v>
      </c>
      <c r="F717" s="304">
        <f t="shared" ca="1" si="329"/>
        <v>0.8987459986389611</v>
      </c>
      <c r="G717" s="306">
        <f t="shared" ca="1" si="330"/>
        <v>7.402369230980324</v>
      </c>
      <c r="H717" s="307">
        <f t="shared" ca="1" si="331"/>
        <v>-104.33791346534454</v>
      </c>
      <c r="I717" s="304">
        <f t="shared" ca="1" si="332"/>
        <v>104.60016853013904</v>
      </c>
      <c r="J717" s="306">
        <f t="shared" ca="1" si="333"/>
        <v>839.7136314269211</v>
      </c>
      <c r="K717" s="307">
        <f t="shared" ca="1" si="334"/>
        <v>-2.7587905500342655</v>
      </c>
      <c r="L717" s="304">
        <f t="shared" ca="1" si="319"/>
        <v>839.71816327234819</v>
      </c>
      <c r="M717" s="306">
        <f t="shared" ca="1" si="335"/>
        <v>-1.4999688894333936</v>
      </c>
      <c r="N717" s="304">
        <f t="shared" ca="1" si="336"/>
        <v>-85.941886765458676</v>
      </c>
      <c r="P717" s="310">
        <f t="shared" ca="1" si="337"/>
        <v>23</v>
      </c>
      <c r="Q717" s="304">
        <f t="shared" ca="1" si="338"/>
        <v>0</v>
      </c>
      <c r="R717" s="306">
        <f t="shared" ca="1" si="339"/>
        <v>0</v>
      </c>
      <c r="S717" s="307">
        <f t="shared" ca="1" si="340"/>
        <v>2.9792999999999985</v>
      </c>
      <c r="T717" s="304">
        <f t="shared" ca="1" si="320"/>
        <v>29.226932999999988</v>
      </c>
      <c r="U717" s="311">
        <f t="shared" ca="1" si="321"/>
        <v>0</v>
      </c>
      <c r="V717" s="306">
        <f t="shared" ca="1" si="322"/>
        <v>1.2253379984657278</v>
      </c>
      <c r="W717" s="304">
        <f t="shared" ca="1" si="323"/>
        <v>27.453235742430241</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0.57076370204408811</v>
      </c>
      <c r="AH717" s="304">
        <f t="shared" ca="1" si="347"/>
        <v>-9.2146400624155849</v>
      </c>
    </row>
    <row r="718" spans="1:34" x14ac:dyDescent="0.2">
      <c r="A718" s="347">
        <f t="shared" ca="1" si="325"/>
        <v>1E-4</v>
      </c>
      <c r="B718" s="304">
        <f t="shared" ca="1" si="326"/>
        <v>37.021000000000917</v>
      </c>
      <c r="D718" s="306">
        <f t="shared" ca="1" si="327"/>
        <v>-0.65210519867966232</v>
      </c>
      <c r="E718" s="307">
        <f t="shared" ca="1" si="328"/>
        <v>-0.61844339601671372</v>
      </c>
      <c r="F718" s="304">
        <f t="shared" ca="1" si="329"/>
        <v>0.89872878234856124</v>
      </c>
      <c r="G718" s="306">
        <f t="shared" ca="1" si="330"/>
        <v>7.4023040204604555</v>
      </c>
      <c r="H718" s="307">
        <f t="shared" ca="1" si="331"/>
        <v>-104.33797530968414</v>
      </c>
      <c r="I718" s="304">
        <f t="shared" ca="1" si="332"/>
        <v>104.6002256046113</v>
      </c>
      <c r="J718" s="306">
        <f t="shared" ca="1" si="333"/>
        <v>839.7136314269211</v>
      </c>
      <c r="K718" s="307">
        <f t="shared" ca="1" si="334"/>
        <v>-2.7692243444730171</v>
      </c>
      <c r="L718" s="304">
        <f t="shared" ca="1" si="319"/>
        <v>839.71819761611516</v>
      </c>
      <c r="M718" s="306">
        <f t="shared" ca="1" si="335"/>
        <v>-1.4999695531378685</v>
      </c>
      <c r="N718" s="304">
        <f t="shared" ca="1" si="336"/>
        <v>-85.941924792923928</v>
      </c>
      <c r="P718" s="310">
        <f t="shared" ca="1" si="337"/>
        <v>23</v>
      </c>
      <c r="Q718" s="304">
        <f t="shared" ca="1" si="338"/>
        <v>0</v>
      </c>
      <c r="R718" s="306">
        <f t="shared" ca="1" si="339"/>
        <v>0</v>
      </c>
      <c r="S718" s="307">
        <f t="shared" ca="1" si="340"/>
        <v>2.9792999999999985</v>
      </c>
      <c r="T718" s="304">
        <f t="shared" ca="1" si="320"/>
        <v>29.226932999999988</v>
      </c>
      <c r="U718" s="311">
        <f t="shared" ca="1" si="321"/>
        <v>0</v>
      </c>
      <c r="V718" s="306">
        <f t="shared" ca="1" si="322"/>
        <v>1.2253392769588987</v>
      </c>
      <c r="W718" s="304">
        <f t="shared" ca="1" si="323"/>
        <v>27.453294346023128</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0.57074449226661983</v>
      </c>
      <c r="AH718" s="304">
        <f t="shared" ca="1" si="347"/>
        <v>-9.2146597329675615</v>
      </c>
    </row>
    <row r="719" spans="1:34" x14ac:dyDescent="0.2">
      <c r="A719" s="347">
        <f t="shared" ca="1" si="325"/>
        <v>1E-4</v>
      </c>
      <c r="B719" s="304">
        <f t="shared" ca="1" si="326"/>
        <v>37.021100000000921</v>
      </c>
      <c r="D719" s="306">
        <f t="shared" ca="1" si="327"/>
        <v>-0.65210049021851191</v>
      </c>
      <c r="E719" s="307">
        <f t="shared" ca="1" si="328"/>
        <v>-0.61842334227450024</v>
      </c>
      <c r="F719" s="304">
        <f t="shared" ca="1" si="329"/>
        <v>0.89871156641782857</v>
      </c>
      <c r="G719" s="306">
        <f t="shared" ca="1" si="330"/>
        <v>7.4022388104114336</v>
      </c>
      <c r="H719" s="307">
        <f t="shared" ca="1" si="331"/>
        <v>-104.33803715201837</v>
      </c>
      <c r="I719" s="304">
        <f t="shared" ca="1" si="332"/>
        <v>104.60028267716262</v>
      </c>
      <c r="J719" s="306">
        <f t="shared" ca="1" si="333"/>
        <v>839.7136314269211</v>
      </c>
      <c r="K719" s="307">
        <f t="shared" ca="1" si="334"/>
        <v>-2.7796581450961022</v>
      </c>
      <c r="L719" s="304">
        <f t="shared" ca="1" si="319"/>
        <v>839.71823208954481</v>
      </c>
      <c r="M719" s="306">
        <f t="shared" ca="1" si="335"/>
        <v>-1.4999702168357725</v>
      </c>
      <c r="N719" s="304">
        <f t="shared" ca="1" si="336"/>
        <v>-85.941962820012705</v>
      </c>
      <c r="P719" s="310">
        <f t="shared" ca="1" si="337"/>
        <v>23</v>
      </c>
      <c r="Q719" s="304">
        <f t="shared" ca="1" si="338"/>
        <v>0</v>
      </c>
      <c r="R719" s="306">
        <f t="shared" ca="1" si="339"/>
        <v>0</v>
      </c>
      <c r="S719" s="307">
        <f t="shared" ca="1" si="340"/>
        <v>2.9792999999999985</v>
      </c>
      <c r="T719" s="304">
        <f t="shared" ca="1" si="320"/>
        <v>29.226932999999988</v>
      </c>
      <c r="U719" s="311">
        <f t="shared" ca="1" si="321"/>
        <v>0</v>
      </c>
      <c r="V719" s="306">
        <f t="shared" ca="1" si="322"/>
        <v>1.2253405554541617</v>
      </c>
      <c r="W719" s="304">
        <f t="shared" ca="1" si="323"/>
        <v>27.453352948733428</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0.57072528277652879</v>
      </c>
      <c r="AH719" s="304">
        <f t="shared" ca="1" si="347"/>
        <v>-9.2146794032232879</v>
      </c>
    </row>
    <row r="720" spans="1:34" x14ac:dyDescent="0.2">
      <c r="A720" s="347">
        <f t="shared" ca="1" si="325"/>
        <v>1E-4</v>
      </c>
      <c r="B720" s="304">
        <f t="shared" ca="1" si="326"/>
        <v>37.021200000000924</v>
      </c>
      <c r="D720" s="306">
        <f t="shared" ca="1" si="327"/>
        <v>-0.6520957817704629</v>
      </c>
      <c r="E720" s="307">
        <f t="shared" ca="1" si="328"/>
        <v>-0.61840328883427098</v>
      </c>
      <c r="F720" s="304">
        <f t="shared" ca="1" si="329"/>
        <v>0.89869435084675697</v>
      </c>
      <c r="G720" s="306">
        <f t="shared" ca="1" si="330"/>
        <v>7.4021736008332564</v>
      </c>
      <c r="H720" s="307">
        <f t="shared" ca="1" si="331"/>
        <v>-104.33809899234726</v>
      </c>
      <c r="I720" s="304">
        <f t="shared" ca="1" si="332"/>
        <v>104.60033974779302</v>
      </c>
      <c r="J720" s="306">
        <f t="shared" ca="1" si="333"/>
        <v>839.7136314269211</v>
      </c>
      <c r="K720" s="307">
        <f t="shared" ca="1" si="334"/>
        <v>-2.7900919519033205</v>
      </c>
      <c r="L720" s="304">
        <f t="shared" ca="1" si="319"/>
        <v>839.71826669263737</v>
      </c>
      <c r="M720" s="306">
        <f t="shared" ca="1" si="335"/>
        <v>-1.4999708805271053</v>
      </c>
      <c r="N720" s="304">
        <f t="shared" ca="1" si="336"/>
        <v>-85.942000846724966</v>
      </c>
      <c r="P720" s="310">
        <f t="shared" ca="1" si="337"/>
        <v>23</v>
      </c>
      <c r="Q720" s="304">
        <f t="shared" ca="1" si="338"/>
        <v>0</v>
      </c>
      <c r="R720" s="306">
        <f t="shared" ca="1" si="339"/>
        <v>0</v>
      </c>
      <c r="S720" s="307">
        <f t="shared" ca="1" si="340"/>
        <v>2.9792999999999985</v>
      </c>
      <c r="T720" s="304">
        <f t="shared" ca="1" si="320"/>
        <v>29.226932999999988</v>
      </c>
      <c r="U720" s="311">
        <f t="shared" ca="1" si="321"/>
        <v>0</v>
      </c>
      <c r="V720" s="306">
        <f t="shared" ca="1" si="322"/>
        <v>1.2253418339515159</v>
      </c>
      <c r="W720" s="304">
        <f t="shared" ca="1" si="323"/>
        <v>27.4534115505611</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0.57070607357380609</v>
      </c>
      <c r="AH720" s="304">
        <f t="shared" ca="1" si="347"/>
        <v>-9.2146990731827749</v>
      </c>
    </row>
    <row r="721" spans="1:34" x14ac:dyDescent="0.2">
      <c r="A721" s="347">
        <f t="shared" ca="1" si="325"/>
        <v>1E-4</v>
      </c>
      <c r="B721" s="304">
        <f t="shared" ca="1" si="326"/>
        <v>37.021300000000927</v>
      </c>
      <c r="D721" s="306">
        <f t="shared" ca="1" si="327"/>
        <v>-0.65209107333551741</v>
      </c>
      <c r="E721" s="307">
        <f t="shared" ca="1" si="328"/>
        <v>-0.61838323569603837</v>
      </c>
      <c r="F721" s="304">
        <f t="shared" ca="1" si="329"/>
        <v>0.89867713563535667</v>
      </c>
      <c r="G721" s="306">
        <f t="shared" ca="1" si="330"/>
        <v>7.4021083917259229</v>
      </c>
      <c r="H721" s="307">
        <f t="shared" ca="1" si="331"/>
        <v>-104.33816083067083</v>
      </c>
      <c r="I721" s="304">
        <f t="shared" ca="1" si="332"/>
        <v>104.60039681650252</v>
      </c>
      <c r="J721" s="306">
        <f t="shared" ca="1" si="333"/>
        <v>839.7136314269211</v>
      </c>
      <c r="K721" s="307">
        <f t="shared" ca="1" si="334"/>
        <v>-2.8005257648944712</v>
      </c>
      <c r="L721" s="304">
        <f t="shared" ca="1" si="319"/>
        <v>839.71830142539284</v>
      </c>
      <c r="M721" s="306">
        <f t="shared" ca="1" si="335"/>
        <v>-1.4999715442118671</v>
      </c>
      <c r="N721" s="304">
        <f t="shared" ca="1" si="336"/>
        <v>-85.942038873060753</v>
      </c>
      <c r="P721" s="310">
        <f t="shared" ca="1" si="337"/>
        <v>23</v>
      </c>
      <c r="Q721" s="304">
        <f t="shared" ca="1" si="338"/>
        <v>0</v>
      </c>
      <c r="R721" s="306">
        <f t="shared" ca="1" si="339"/>
        <v>0</v>
      </c>
      <c r="S721" s="307">
        <f t="shared" ca="1" si="340"/>
        <v>2.9792999999999985</v>
      </c>
      <c r="T721" s="304">
        <f t="shared" ca="1" si="320"/>
        <v>29.226932999999988</v>
      </c>
      <c r="U721" s="311">
        <f t="shared" ca="1" si="321"/>
        <v>0</v>
      </c>
      <c r="V721" s="306">
        <f t="shared" ca="1" si="322"/>
        <v>1.2253431124509626</v>
      </c>
      <c r="W721" s="304">
        <f t="shared" ca="1" si="323"/>
        <v>27.453470151506199</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0.57068686465846419</v>
      </c>
      <c r="AH721" s="304">
        <f t="shared" ca="1" si="347"/>
        <v>-9.2147187428460082</v>
      </c>
    </row>
    <row r="722" spans="1:34" x14ac:dyDescent="0.2">
      <c r="A722" s="347">
        <f t="shared" ca="1" si="325"/>
        <v>1E-4</v>
      </c>
      <c r="B722" s="304">
        <f t="shared" ca="1" si="326"/>
        <v>37.021400000000931</v>
      </c>
      <c r="D722" s="306">
        <f t="shared" ca="1" si="327"/>
        <v>-0.65208636491367566</v>
      </c>
      <c r="E722" s="307">
        <f t="shared" ca="1" si="328"/>
        <v>-0.61836318285978287</v>
      </c>
      <c r="F722" s="304">
        <f t="shared" ca="1" si="329"/>
        <v>0.89865992078361467</v>
      </c>
      <c r="G722" s="306">
        <f t="shared" ca="1" si="330"/>
        <v>7.4020431830894315</v>
      </c>
      <c r="H722" s="307">
        <f t="shared" ca="1" si="331"/>
        <v>-104.33822266698911</v>
      </c>
      <c r="I722" s="304">
        <f t="shared" ca="1" si="332"/>
        <v>104.60045388329115</v>
      </c>
      <c r="J722" s="306">
        <f t="shared" ca="1" si="333"/>
        <v>839.7136314269211</v>
      </c>
      <c r="K722" s="307">
        <f t="shared" ca="1" si="334"/>
        <v>-2.8109595840693542</v>
      </c>
      <c r="L722" s="304">
        <f t="shared" ca="1" si="319"/>
        <v>839.71833628781167</v>
      </c>
      <c r="M722" s="306">
        <f t="shared" ca="1" si="335"/>
        <v>-1.4999722078900581</v>
      </c>
      <c r="N722" s="304">
        <f t="shared" ca="1" si="336"/>
        <v>-85.942076899020051</v>
      </c>
      <c r="P722" s="310">
        <f t="shared" ca="1" si="337"/>
        <v>23</v>
      </c>
      <c r="Q722" s="304">
        <f t="shared" ca="1" si="338"/>
        <v>0</v>
      </c>
      <c r="R722" s="306">
        <f t="shared" ca="1" si="339"/>
        <v>0</v>
      </c>
      <c r="S722" s="307">
        <f t="shared" ca="1" si="340"/>
        <v>2.9792999999999985</v>
      </c>
      <c r="T722" s="304">
        <f t="shared" ca="1" si="320"/>
        <v>29.226932999999988</v>
      </c>
      <c r="U722" s="311">
        <f t="shared" ca="1" si="321"/>
        <v>0</v>
      </c>
      <c r="V722" s="306">
        <f t="shared" ca="1" si="322"/>
        <v>1.2253443909525008</v>
      </c>
      <c r="W722" s="304">
        <f t="shared" ca="1" si="323"/>
        <v>27.453528751568705</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0.57066765603048353</v>
      </c>
      <c r="AH722" s="304">
        <f t="shared" ca="1" si="347"/>
        <v>-9.2147384122130074</v>
      </c>
    </row>
    <row r="723" spans="1:34" x14ac:dyDescent="0.2">
      <c r="A723" s="347">
        <f t="shared" ca="1" si="325"/>
        <v>1E-4</v>
      </c>
      <c r="B723" s="304">
        <f t="shared" ca="1" si="326"/>
        <v>37.021500000000934</v>
      </c>
      <c r="D723" s="306">
        <f t="shared" ca="1" si="327"/>
        <v>-0.65208165650493599</v>
      </c>
      <c r="E723" s="307">
        <f t="shared" ca="1" si="328"/>
        <v>-0.61834313032551336</v>
      </c>
      <c r="F723" s="304">
        <f t="shared" ca="1" si="329"/>
        <v>0.89864270629153609</v>
      </c>
      <c r="G723" s="306">
        <f t="shared" ca="1" si="330"/>
        <v>7.4019779749237813</v>
      </c>
      <c r="H723" s="307">
        <f t="shared" ca="1" si="331"/>
        <v>-104.33828450130214</v>
      </c>
      <c r="I723" s="304">
        <f t="shared" ca="1" si="332"/>
        <v>104.60051094815897</v>
      </c>
      <c r="J723" s="306">
        <f t="shared" ca="1" si="333"/>
        <v>839.7136314269211</v>
      </c>
      <c r="K723" s="307">
        <f t="shared" ca="1" si="334"/>
        <v>-2.8213934094277686</v>
      </c>
      <c r="L723" s="304">
        <f t="shared" ca="1" si="319"/>
        <v>839.71837127989397</v>
      </c>
      <c r="M723" s="306">
        <f t="shared" ca="1" si="335"/>
        <v>-1.4999728715616782</v>
      </c>
      <c r="N723" s="304">
        <f t="shared" ca="1" si="336"/>
        <v>-85.942114924602862</v>
      </c>
      <c r="P723" s="310">
        <f t="shared" ca="1" si="337"/>
        <v>23</v>
      </c>
      <c r="Q723" s="304">
        <f t="shared" ca="1" si="338"/>
        <v>0</v>
      </c>
      <c r="R723" s="306">
        <f t="shared" ca="1" si="339"/>
        <v>0</v>
      </c>
      <c r="S723" s="307">
        <f t="shared" ca="1" si="340"/>
        <v>2.9792999999999985</v>
      </c>
      <c r="T723" s="304">
        <f t="shared" ca="1" si="320"/>
        <v>29.226932999999988</v>
      </c>
      <c r="U723" s="311">
        <f t="shared" ca="1" si="321"/>
        <v>0</v>
      </c>
      <c r="V723" s="306">
        <f t="shared" ca="1" si="322"/>
        <v>1.2253456694561313</v>
      </c>
      <c r="W723" s="304">
        <f t="shared" ca="1" si="323"/>
        <v>27.45358735074867</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0.570648447689873</v>
      </c>
      <c r="AH723" s="304">
        <f t="shared" ca="1" si="347"/>
        <v>-9.2147580812837635</v>
      </c>
    </row>
    <row r="724" spans="1:34" x14ac:dyDescent="0.2">
      <c r="A724" s="347">
        <f t="shared" ca="1" si="325"/>
        <v>1E-4</v>
      </c>
      <c r="B724" s="304">
        <f t="shared" ca="1" si="326"/>
        <v>37.021600000000937</v>
      </c>
      <c r="D724" s="306">
        <f t="shared" ca="1" si="327"/>
        <v>-0.65207694810930306</v>
      </c>
      <c r="E724" s="307">
        <f t="shared" ca="1" si="328"/>
        <v>-0.6183230780932103</v>
      </c>
      <c r="F724" s="304">
        <f t="shared" ca="1" si="329"/>
        <v>0.89862549215911125</v>
      </c>
      <c r="G724" s="306">
        <f t="shared" ca="1" si="330"/>
        <v>7.4019127672289704</v>
      </c>
      <c r="H724" s="307">
        <f t="shared" ca="1" si="331"/>
        <v>-104.33834633360995</v>
      </c>
      <c r="I724" s="304">
        <f t="shared" ca="1" si="332"/>
        <v>104.60056801110596</v>
      </c>
      <c r="J724" s="306">
        <f t="shared" ca="1" si="333"/>
        <v>839.7136314269211</v>
      </c>
      <c r="K724" s="307">
        <f t="shared" ca="1" si="334"/>
        <v>-2.8318272409695142</v>
      </c>
      <c r="L724" s="304">
        <f t="shared" ca="1" si="319"/>
        <v>839.71840640163998</v>
      </c>
      <c r="M724" s="306">
        <f t="shared" ca="1" si="335"/>
        <v>-1.4999735352267276</v>
      </c>
      <c r="N724" s="304">
        <f t="shared" ca="1" si="336"/>
        <v>-85.942152949809199</v>
      </c>
      <c r="P724" s="310">
        <f t="shared" ca="1" si="337"/>
        <v>23</v>
      </c>
      <c r="Q724" s="304">
        <f t="shared" ca="1" si="338"/>
        <v>0</v>
      </c>
      <c r="R724" s="306">
        <f t="shared" ca="1" si="339"/>
        <v>0</v>
      </c>
      <c r="S724" s="307">
        <f t="shared" ca="1" si="340"/>
        <v>2.9792999999999985</v>
      </c>
      <c r="T724" s="304">
        <f t="shared" ca="1" si="320"/>
        <v>29.226932999999988</v>
      </c>
      <c r="U724" s="311">
        <f t="shared" ca="1" si="321"/>
        <v>0</v>
      </c>
      <c r="V724" s="306">
        <f t="shared" ca="1" si="322"/>
        <v>1.2253469479618535</v>
      </c>
      <c r="W724" s="304">
        <f t="shared" ca="1" si="323"/>
        <v>27.453645949046049</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0.57062923963661838</v>
      </c>
      <c r="AH724" s="304">
        <f t="shared" ca="1" si="347"/>
        <v>-9.2147777500582961</v>
      </c>
    </row>
    <row r="725" spans="1:34" x14ac:dyDescent="0.2">
      <c r="A725" s="347">
        <f t="shared" ca="1" si="325"/>
        <v>1E-4</v>
      </c>
      <c r="B725" s="304">
        <f t="shared" ca="1" si="326"/>
        <v>37.021700000000941</v>
      </c>
      <c r="D725" s="306">
        <f t="shared" ca="1" si="327"/>
        <v>-0.65207223972677419</v>
      </c>
      <c r="E725" s="307">
        <f t="shared" ca="1" si="328"/>
        <v>-0.61830302616288968</v>
      </c>
      <c r="F725" s="304">
        <f t="shared" ca="1" si="329"/>
        <v>0.89860827838634938</v>
      </c>
      <c r="G725" s="306">
        <f t="shared" ca="1" si="330"/>
        <v>7.401847560004998</v>
      </c>
      <c r="H725" s="307">
        <f t="shared" ca="1" si="331"/>
        <v>-104.33840816391256</v>
      </c>
      <c r="I725" s="304">
        <f t="shared" ca="1" si="332"/>
        <v>104.60062507213219</v>
      </c>
      <c r="J725" s="306">
        <f t="shared" ca="1" si="333"/>
        <v>839.7136314269211</v>
      </c>
      <c r="K725" s="307">
        <f t="shared" ca="1" si="334"/>
        <v>-2.8422610786943903</v>
      </c>
      <c r="L725" s="304">
        <f t="shared" ca="1" si="319"/>
        <v>839.71844165304992</v>
      </c>
      <c r="M725" s="306">
        <f t="shared" ca="1" si="335"/>
        <v>-1.4999741988852064</v>
      </c>
      <c r="N725" s="304">
        <f t="shared" ca="1" si="336"/>
        <v>-85.942190974639075</v>
      </c>
      <c r="P725" s="310">
        <f t="shared" ca="1" si="337"/>
        <v>23</v>
      </c>
      <c r="Q725" s="304">
        <f t="shared" ca="1" si="338"/>
        <v>0</v>
      </c>
      <c r="R725" s="306">
        <f t="shared" ca="1" si="339"/>
        <v>0</v>
      </c>
      <c r="S725" s="307">
        <f t="shared" ca="1" si="340"/>
        <v>2.9792999999999985</v>
      </c>
      <c r="T725" s="304">
        <f t="shared" ca="1" si="320"/>
        <v>29.226932999999988</v>
      </c>
      <c r="U725" s="311">
        <f t="shared" ca="1" si="321"/>
        <v>0</v>
      </c>
      <c r="V725" s="306">
        <f t="shared" ca="1" si="322"/>
        <v>1.2253482264696673</v>
      </c>
      <c r="W725" s="304">
        <f t="shared" ca="1" si="323"/>
        <v>27.453704546460891</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0.57061003187072856</v>
      </c>
      <c r="AH725" s="304">
        <f t="shared" ca="1" si="347"/>
        <v>-9.2147974185365893</v>
      </c>
    </row>
    <row r="726" spans="1:34" x14ac:dyDescent="0.2">
      <c r="A726" s="347">
        <f t="shared" ca="1" si="325"/>
        <v>1E-4</v>
      </c>
      <c r="B726" s="304">
        <f t="shared" ca="1" si="326"/>
        <v>37.021800000000944</v>
      </c>
      <c r="D726" s="306">
        <f t="shared" ca="1" si="327"/>
        <v>-0.65206753135734996</v>
      </c>
      <c r="E726" s="307">
        <f t="shared" ca="1" si="328"/>
        <v>-0.61828297453453374</v>
      </c>
      <c r="F726" s="304">
        <f t="shared" ca="1" si="329"/>
        <v>0.89859106497323882</v>
      </c>
      <c r="G726" s="306">
        <f t="shared" ca="1" si="330"/>
        <v>7.4017823532518623</v>
      </c>
      <c r="H726" s="307">
        <f t="shared" ca="1" si="331"/>
        <v>-104.33846999221001</v>
      </c>
      <c r="I726" s="304">
        <f t="shared" ca="1" si="332"/>
        <v>104.60068213123765</v>
      </c>
      <c r="J726" s="306">
        <f t="shared" ca="1" si="333"/>
        <v>839.7136314269211</v>
      </c>
      <c r="K726" s="307">
        <f t="shared" ca="1" si="334"/>
        <v>-2.8526949226021965</v>
      </c>
      <c r="L726" s="304">
        <f t="shared" ca="1" si="319"/>
        <v>839.71847703412391</v>
      </c>
      <c r="M726" s="306">
        <f t="shared" ca="1" si="335"/>
        <v>-1.4999748625371148</v>
      </c>
      <c r="N726" s="304">
        <f t="shared" ca="1" si="336"/>
        <v>-85.942228999092492</v>
      </c>
      <c r="P726" s="310">
        <f t="shared" ca="1" si="337"/>
        <v>23</v>
      </c>
      <c r="Q726" s="304">
        <f t="shared" ca="1" si="338"/>
        <v>0</v>
      </c>
      <c r="R726" s="306">
        <f t="shared" ca="1" si="339"/>
        <v>0</v>
      </c>
      <c r="S726" s="307">
        <f t="shared" ca="1" si="340"/>
        <v>2.9792999999999985</v>
      </c>
      <c r="T726" s="304">
        <f t="shared" ca="1" si="320"/>
        <v>29.226932999999988</v>
      </c>
      <c r="U726" s="311">
        <f t="shared" ca="1" si="321"/>
        <v>0</v>
      </c>
      <c r="V726" s="306">
        <f t="shared" ca="1" si="322"/>
        <v>1.2253495049795731</v>
      </c>
      <c r="W726" s="304">
        <f t="shared" ca="1" si="323"/>
        <v>27.453763142993186</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0.57059082439219111</v>
      </c>
      <c r="AH726" s="304">
        <f t="shared" ca="1" si="347"/>
        <v>-9.2148170867186607</v>
      </c>
    </row>
    <row r="727" spans="1:34" x14ac:dyDescent="0.2">
      <c r="A727" s="347">
        <f t="shared" ca="1" si="325"/>
        <v>1E-4</v>
      </c>
      <c r="B727" s="304">
        <f t="shared" ca="1" si="326"/>
        <v>37.021900000000947</v>
      </c>
      <c r="D727" s="306">
        <f t="shared" ca="1" si="327"/>
        <v>-0.65206282300103069</v>
      </c>
      <c r="E727" s="307">
        <f t="shared" ca="1" si="328"/>
        <v>-0.61826292320814957</v>
      </c>
      <c r="F727" s="304">
        <f t="shared" ca="1" si="329"/>
        <v>0.898573851919785</v>
      </c>
      <c r="G727" s="306">
        <f t="shared" ca="1" si="330"/>
        <v>7.4017171469695624</v>
      </c>
      <c r="H727" s="307">
        <f t="shared" ca="1" si="331"/>
        <v>-104.33853181850233</v>
      </c>
      <c r="I727" s="304">
        <f t="shared" ca="1" si="332"/>
        <v>104.60073918842241</v>
      </c>
      <c r="J727" s="306">
        <f t="shared" ca="1" si="333"/>
        <v>839.7136314269211</v>
      </c>
      <c r="K727" s="307">
        <f t="shared" ca="1" si="334"/>
        <v>-2.8631287726927321</v>
      </c>
      <c r="L727" s="304">
        <f t="shared" ca="1" si="319"/>
        <v>839.71851254486228</v>
      </c>
      <c r="M727" s="306">
        <f t="shared" ca="1" si="335"/>
        <v>-1.4999755261824526</v>
      </c>
      <c r="N727" s="304">
        <f t="shared" ca="1" si="336"/>
        <v>-85.94226702316945</v>
      </c>
      <c r="P727" s="310">
        <f t="shared" ca="1" si="337"/>
        <v>23</v>
      </c>
      <c r="Q727" s="304">
        <f t="shared" ca="1" si="338"/>
        <v>0</v>
      </c>
      <c r="R727" s="306">
        <f t="shared" ca="1" si="339"/>
        <v>0</v>
      </c>
      <c r="S727" s="307">
        <f t="shared" ca="1" si="340"/>
        <v>2.9792999999999985</v>
      </c>
      <c r="T727" s="304">
        <f t="shared" ca="1" si="320"/>
        <v>29.226932999999988</v>
      </c>
      <c r="U727" s="311">
        <f t="shared" ca="1" si="321"/>
        <v>0</v>
      </c>
      <c r="V727" s="306">
        <f t="shared" ca="1" si="322"/>
        <v>1.2253507834915704</v>
      </c>
      <c r="W727" s="304">
        <f t="shared" ca="1" si="323"/>
        <v>27.453821738642954</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0.57057161720101135</v>
      </c>
      <c r="AH727" s="304">
        <f t="shared" ca="1" si="347"/>
        <v>-9.2148367546045034</v>
      </c>
    </row>
    <row r="728" spans="1:34" x14ac:dyDescent="0.2">
      <c r="A728" s="347">
        <f t="shared" ca="1" si="325"/>
        <v>1E-4</v>
      </c>
      <c r="B728" s="304">
        <f t="shared" ca="1" si="326"/>
        <v>37.022000000000951</v>
      </c>
      <c r="D728" s="306">
        <f t="shared" ca="1" si="327"/>
        <v>-0.65205811465781849</v>
      </c>
      <c r="E728" s="307">
        <f t="shared" ca="1" si="328"/>
        <v>-0.61824287218372653</v>
      </c>
      <c r="F728" s="304">
        <f t="shared" ca="1" si="329"/>
        <v>0.89855663922598239</v>
      </c>
      <c r="G728" s="306">
        <f t="shared" ca="1" si="330"/>
        <v>7.4016519411580965</v>
      </c>
      <c r="H728" s="307">
        <f t="shared" ca="1" si="331"/>
        <v>-104.33859364278955</v>
      </c>
      <c r="I728" s="304">
        <f t="shared" ca="1" si="332"/>
        <v>104.60079624368647</v>
      </c>
      <c r="J728" s="306">
        <f t="shared" ca="1" si="333"/>
        <v>839.7136314269211</v>
      </c>
      <c r="K728" s="307">
        <f t="shared" ca="1" si="334"/>
        <v>-2.873562628965797</v>
      </c>
      <c r="L728" s="304">
        <f t="shared" ca="1" si="319"/>
        <v>839.71854818526526</v>
      </c>
      <c r="M728" s="306">
        <f t="shared" ca="1" si="335"/>
        <v>-1.4999761898212201</v>
      </c>
      <c r="N728" s="304">
        <f t="shared" ca="1" si="336"/>
        <v>-85.942305046869947</v>
      </c>
      <c r="P728" s="310">
        <f t="shared" ca="1" si="337"/>
        <v>23</v>
      </c>
      <c r="Q728" s="304">
        <f t="shared" ca="1" si="338"/>
        <v>0</v>
      </c>
      <c r="R728" s="306">
        <f t="shared" ca="1" si="339"/>
        <v>0</v>
      </c>
      <c r="S728" s="307">
        <f t="shared" ca="1" si="340"/>
        <v>2.9792999999999985</v>
      </c>
      <c r="T728" s="304">
        <f t="shared" ca="1" si="320"/>
        <v>29.226932999999988</v>
      </c>
      <c r="U728" s="311">
        <f t="shared" ca="1" si="321"/>
        <v>0</v>
      </c>
      <c r="V728" s="306">
        <f t="shared" ca="1" si="322"/>
        <v>1.2253520620056597</v>
      </c>
      <c r="W728" s="304">
        <f t="shared" ca="1" si="323"/>
        <v>27.453880333410215</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0.57055241029717507</v>
      </c>
      <c r="AH728" s="304">
        <f t="shared" ca="1" si="347"/>
        <v>-9.2148564221941296</v>
      </c>
    </row>
    <row r="729" spans="1:34" x14ac:dyDescent="0.2">
      <c r="A729" s="347">
        <f t="shared" ca="1" si="325"/>
        <v>1E-4</v>
      </c>
      <c r="B729" s="304">
        <f t="shared" ca="1" si="326"/>
        <v>37.022100000000954</v>
      </c>
      <c r="D729" s="306">
        <f t="shared" ca="1" si="327"/>
        <v>-0.65205340632771192</v>
      </c>
      <c r="E729" s="307">
        <f t="shared" ca="1" si="328"/>
        <v>-0.61822282146126106</v>
      </c>
      <c r="F729" s="304">
        <f t="shared" ca="1" si="329"/>
        <v>0.89853942689182786</v>
      </c>
      <c r="G729" s="306">
        <f t="shared" ca="1" si="330"/>
        <v>7.4015867358174638</v>
      </c>
      <c r="H729" s="307">
        <f t="shared" ca="1" si="331"/>
        <v>-104.3386554650717</v>
      </c>
      <c r="I729" s="304">
        <f t="shared" ca="1" si="332"/>
        <v>104.60085329702987</v>
      </c>
      <c r="J729" s="306">
        <f t="shared" ca="1" si="333"/>
        <v>839.7136314269211</v>
      </c>
      <c r="K729" s="307">
        <f t="shared" ca="1" si="334"/>
        <v>-2.8839964914211902</v>
      </c>
      <c r="L729" s="304">
        <f t="shared" ca="1" si="319"/>
        <v>839.71858395533297</v>
      </c>
      <c r="M729" s="306">
        <f t="shared" ca="1" si="335"/>
        <v>-1.499976853453417</v>
      </c>
      <c r="N729" s="304">
        <f t="shared" ca="1" si="336"/>
        <v>-85.942343070193971</v>
      </c>
      <c r="P729" s="310">
        <f t="shared" ca="1" si="337"/>
        <v>23</v>
      </c>
      <c r="Q729" s="304">
        <f t="shared" ca="1" si="338"/>
        <v>0</v>
      </c>
      <c r="R729" s="306">
        <f t="shared" ca="1" si="339"/>
        <v>0</v>
      </c>
      <c r="S729" s="307">
        <f t="shared" ca="1" si="340"/>
        <v>2.9792999999999985</v>
      </c>
      <c r="T729" s="304">
        <f t="shared" ca="1" si="320"/>
        <v>29.226932999999988</v>
      </c>
      <c r="U729" s="311">
        <f t="shared" ca="1" si="321"/>
        <v>0</v>
      </c>
      <c r="V729" s="306">
        <f t="shared" ca="1" si="322"/>
        <v>1.2253533405218406</v>
      </c>
      <c r="W729" s="304">
        <f t="shared" ca="1" si="323"/>
        <v>27.453938927294949</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0.57053320368068583</v>
      </c>
      <c r="AH729" s="304">
        <f t="shared" ca="1" si="347"/>
        <v>-9.2148760894875394</v>
      </c>
    </row>
    <row r="730" spans="1:34" x14ac:dyDescent="0.2">
      <c r="A730" s="347">
        <f t="shared" ca="1" si="325"/>
        <v>1E-4</v>
      </c>
      <c r="B730" s="304">
        <f t="shared" ca="1" si="326"/>
        <v>37.022200000000957</v>
      </c>
      <c r="D730" s="306">
        <f t="shared" ca="1" si="327"/>
        <v>-0.6520486980107143</v>
      </c>
      <c r="E730" s="307">
        <f t="shared" ca="1" si="328"/>
        <v>-0.61820277104075494</v>
      </c>
      <c r="F730" s="304">
        <f t="shared" ca="1" si="329"/>
        <v>0.89852221491732509</v>
      </c>
      <c r="G730" s="306">
        <f t="shared" ca="1" si="330"/>
        <v>7.4015215309476625</v>
      </c>
      <c r="H730" s="307">
        <f t="shared" ca="1" si="331"/>
        <v>-104.33871728534881</v>
      </c>
      <c r="I730" s="304">
        <f t="shared" ca="1" si="332"/>
        <v>104.60091034845264</v>
      </c>
      <c r="J730" s="306">
        <f t="shared" ca="1" si="333"/>
        <v>839.7136314269211</v>
      </c>
      <c r="K730" s="307">
        <f t="shared" ca="1" si="334"/>
        <v>-2.8944303600587111</v>
      </c>
      <c r="L730" s="304">
        <f t="shared" ca="1" si="319"/>
        <v>839.71861985506575</v>
      </c>
      <c r="M730" s="306">
        <f t="shared" ca="1" si="335"/>
        <v>-1.4999775170790439</v>
      </c>
      <c r="N730" s="304">
        <f t="shared" ca="1" si="336"/>
        <v>-85.942381093141577</v>
      </c>
      <c r="P730" s="310">
        <f t="shared" ca="1" si="337"/>
        <v>23</v>
      </c>
      <c r="Q730" s="304">
        <f t="shared" ca="1" si="338"/>
        <v>0</v>
      </c>
      <c r="R730" s="306">
        <f t="shared" ca="1" si="339"/>
        <v>0</v>
      </c>
      <c r="S730" s="307">
        <f t="shared" ca="1" si="340"/>
        <v>2.9792999999999985</v>
      </c>
      <c r="T730" s="304">
        <f t="shared" ca="1" si="320"/>
        <v>29.226932999999988</v>
      </c>
      <c r="U730" s="311">
        <f t="shared" ca="1" si="321"/>
        <v>0</v>
      </c>
      <c r="V730" s="306">
        <f t="shared" ca="1" si="322"/>
        <v>1.225354619040113</v>
      </c>
      <c r="W730" s="304">
        <f t="shared" ca="1" si="323"/>
        <v>27.453997520297193</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0.57051399735154185</v>
      </c>
      <c r="AH730" s="304">
        <f t="shared" ca="1" si="347"/>
        <v>-9.2148957564847329</v>
      </c>
    </row>
    <row r="731" spans="1:34" x14ac:dyDescent="0.2">
      <c r="A731" s="347">
        <f t="shared" ca="1" si="325"/>
        <v>1E-4</v>
      </c>
      <c r="B731" s="304">
        <f t="shared" ca="1" si="326"/>
        <v>37.022300000000961</v>
      </c>
      <c r="D731" s="306">
        <f t="shared" ca="1" si="327"/>
        <v>-0.65204398970682298</v>
      </c>
      <c r="E731" s="307">
        <f t="shared" ca="1" si="328"/>
        <v>-0.61818272092219928</v>
      </c>
      <c r="F731" s="304">
        <f t="shared" ca="1" si="329"/>
        <v>0.89850500330246641</v>
      </c>
      <c r="G731" s="306">
        <f t="shared" ca="1" si="330"/>
        <v>7.4014563265486917</v>
      </c>
      <c r="H731" s="307">
        <f t="shared" ca="1" si="331"/>
        <v>-104.33877910362089</v>
      </c>
      <c r="I731" s="304">
        <f t="shared" ca="1" si="332"/>
        <v>104.6009673979548</v>
      </c>
      <c r="J731" s="306">
        <f t="shared" ca="1" si="333"/>
        <v>839.7136314269211</v>
      </c>
      <c r="K731" s="307">
        <f t="shared" ca="1" si="334"/>
        <v>-2.9048642348781595</v>
      </c>
      <c r="L731" s="304">
        <f t="shared" ca="1" si="319"/>
        <v>839.7186558844636</v>
      </c>
      <c r="M731" s="306">
        <f t="shared" ca="1" si="335"/>
        <v>-1.4999781806981005</v>
      </c>
      <c r="N731" s="304">
        <f t="shared" ca="1" si="336"/>
        <v>-85.942419115712724</v>
      </c>
      <c r="P731" s="310">
        <f t="shared" ca="1" si="337"/>
        <v>23</v>
      </c>
      <c r="Q731" s="304">
        <f t="shared" ca="1" si="338"/>
        <v>0</v>
      </c>
      <c r="R731" s="306">
        <f t="shared" ca="1" si="339"/>
        <v>0</v>
      </c>
      <c r="S731" s="307">
        <f t="shared" ca="1" si="340"/>
        <v>2.9792999999999985</v>
      </c>
      <c r="T731" s="304">
        <f t="shared" ca="1" si="320"/>
        <v>29.226932999999988</v>
      </c>
      <c r="U731" s="311">
        <f t="shared" ca="1" si="321"/>
        <v>0</v>
      </c>
      <c r="V731" s="306">
        <f t="shared" ca="1" si="322"/>
        <v>1.2253558975604775</v>
      </c>
      <c r="W731" s="304">
        <f t="shared" ca="1" si="323"/>
        <v>27.454056112416946</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0.57049479130973779</v>
      </c>
      <c r="AH731" s="304">
        <f t="shared" ca="1" si="347"/>
        <v>-9.2149154231857171</v>
      </c>
    </row>
    <row r="732" spans="1:34" x14ac:dyDescent="0.2">
      <c r="A732" s="347">
        <f t="shared" ca="1" si="325"/>
        <v>1E-4</v>
      </c>
      <c r="B732" s="304">
        <f t="shared" ca="1" si="326"/>
        <v>37.022400000000964</v>
      </c>
      <c r="D732" s="306">
        <f t="shared" ca="1" si="327"/>
        <v>-0.65203928141604106</v>
      </c>
      <c r="E732" s="307">
        <f t="shared" ca="1" si="328"/>
        <v>-0.61816267110559586</v>
      </c>
      <c r="F732" s="304">
        <f t="shared" ca="1" si="329"/>
        <v>0.89848779204725548</v>
      </c>
      <c r="G732" s="306">
        <f t="shared" ca="1" si="330"/>
        <v>7.4013911226205504</v>
      </c>
      <c r="H732" s="307">
        <f t="shared" ca="1" si="331"/>
        <v>-104.338840919888</v>
      </c>
      <c r="I732" s="304">
        <f t="shared" ca="1" si="332"/>
        <v>104.60102444553638</v>
      </c>
      <c r="J732" s="306">
        <f t="shared" ca="1" si="333"/>
        <v>839.7136314269211</v>
      </c>
      <c r="K732" s="307">
        <f t="shared" ca="1" si="334"/>
        <v>-2.915298115879335</v>
      </c>
      <c r="L732" s="304">
        <f t="shared" ca="1" si="319"/>
        <v>839.71869204352686</v>
      </c>
      <c r="M732" s="306">
        <f t="shared" ca="1" si="335"/>
        <v>-1.4999788443105873</v>
      </c>
      <c r="N732" s="304">
        <f t="shared" ca="1" si="336"/>
        <v>-85.942457137907439</v>
      </c>
      <c r="P732" s="310">
        <f t="shared" ca="1" si="337"/>
        <v>23</v>
      </c>
      <c r="Q732" s="304">
        <f t="shared" ca="1" si="338"/>
        <v>0</v>
      </c>
      <c r="R732" s="306">
        <f t="shared" ca="1" si="339"/>
        <v>0</v>
      </c>
      <c r="S732" s="307">
        <f t="shared" ca="1" si="340"/>
        <v>2.9792999999999985</v>
      </c>
      <c r="T732" s="304">
        <f t="shared" ca="1" si="320"/>
        <v>29.226932999999988</v>
      </c>
      <c r="U732" s="311">
        <f t="shared" ca="1" si="321"/>
        <v>0</v>
      </c>
      <c r="V732" s="306">
        <f t="shared" ca="1" si="322"/>
        <v>1.2253571760829336</v>
      </c>
      <c r="W732" s="304">
        <f t="shared" ca="1" si="323"/>
        <v>27.45411470365422</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0.57047558555527189</v>
      </c>
      <c r="AH732" s="304">
        <f t="shared" ca="1" si="347"/>
        <v>-9.2149350895904938</v>
      </c>
    </row>
    <row r="733" spans="1:34" x14ac:dyDescent="0.2">
      <c r="A733" s="347">
        <f t="shared" ca="1" si="325"/>
        <v>1E-4</v>
      </c>
      <c r="B733" s="304">
        <f t="shared" ca="1" si="326"/>
        <v>37.022500000000967</v>
      </c>
      <c r="D733" s="306">
        <f t="shared" ca="1" si="327"/>
        <v>-0.65203457313836566</v>
      </c>
      <c r="E733" s="307">
        <f t="shared" ca="1" si="328"/>
        <v>-0.6181426215909358</v>
      </c>
      <c r="F733" s="304">
        <f t="shared" ca="1" si="329"/>
        <v>0.89847058115168443</v>
      </c>
      <c r="G733" s="306">
        <f t="shared" ca="1" si="330"/>
        <v>7.401325919163237</v>
      </c>
      <c r="H733" s="307">
        <f t="shared" ca="1" si="331"/>
        <v>-104.33890273415015</v>
      </c>
      <c r="I733" s="304">
        <f t="shared" ca="1" si="332"/>
        <v>104.60108149119742</v>
      </c>
      <c r="J733" s="306">
        <f t="shared" ca="1" si="333"/>
        <v>839.7136314269211</v>
      </c>
      <c r="K733" s="307">
        <f t="shared" ca="1" si="334"/>
        <v>-2.9257320030620368</v>
      </c>
      <c r="L733" s="304">
        <f t="shared" ca="1" si="319"/>
        <v>839.71872833225575</v>
      </c>
      <c r="M733" s="306">
        <f t="shared" ca="1" si="335"/>
        <v>-1.4999795079165039</v>
      </c>
      <c r="N733" s="304">
        <f t="shared" ca="1" si="336"/>
        <v>-85.942495159725723</v>
      </c>
      <c r="P733" s="310">
        <f t="shared" ca="1" si="337"/>
        <v>23</v>
      </c>
      <c r="Q733" s="304">
        <f t="shared" ca="1" si="338"/>
        <v>0</v>
      </c>
      <c r="R733" s="306">
        <f t="shared" ca="1" si="339"/>
        <v>0</v>
      </c>
      <c r="S733" s="307">
        <f t="shared" ca="1" si="340"/>
        <v>2.9792999999999985</v>
      </c>
      <c r="T733" s="304">
        <f t="shared" ca="1" si="320"/>
        <v>29.226932999999988</v>
      </c>
      <c r="U733" s="311">
        <f t="shared" ca="1" si="321"/>
        <v>0</v>
      </c>
      <c r="V733" s="306">
        <f t="shared" ca="1" si="322"/>
        <v>1.2253584546074812</v>
      </c>
      <c r="W733" s="304">
        <f t="shared" ca="1" si="323"/>
        <v>27.454173294009031</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0.57045638008813704</v>
      </c>
      <c r="AH733" s="304">
        <f t="shared" ca="1" si="347"/>
        <v>-9.2149547556990683</v>
      </c>
    </row>
    <row r="734" spans="1:34" x14ac:dyDescent="0.2">
      <c r="A734" s="347">
        <f t="shared" ca="1" si="325"/>
        <v>1E-4</v>
      </c>
      <c r="B734" s="304">
        <f t="shared" ca="1" si="326"/>
        <v>37.022600000000971</v>
      </c>
      <c r="D734" s="306">
        <f t="shared" ca="1" si="327"/>
        <v>-0.65202986487380032</v>
      </c>
      <c r="E734" s="307">
        <f t="shared" ca="1" si="328"/>
        <v>-0.61812257237821733</v>
      </c>
      <c r="F734" s="304">
        <f t="shared" ca="1" si="329"/>
        <v>0.89845337061575481</v>
      </c>
      <c r="G734" s="306">
        <f t="shared" ca="1" si="330"/>
        <v>7.4012607161767496</v>
      </c>
      <c r="H734" s="307">
        <f t="shared" ca="1" si="331"/>
        <v>-104.3389645464074</v>
      </c>
      <c r="I734" s="304">
        <f t="shared" ca="1" si="332"/>
        <v>104.60113853493796</v>
      </c>
      <c r="J734" s="306">
        <f t="shared" ca="1" si="333"/>
        <v>839.7136314269211</v>
      </c>
      <c r="K734" s="307">
        <f t="shared" ca="1" si="334"/>
        <v>-2.9361658964260648</v>
      </c>
      <c r="L734" s="304">
        <f t="shared" ca="1" si="319"/>
        <v>839.71876475065062</v>
      </c>
      <c r="M734" s="306">
        <f t="shared" ca="1" si="335"/>
        <v>-1.4999801715158505</v>
      </c>
      <c r="N734" s="304">
        <f t="shared" ca="1" si="336"/>
        <v>-85.942533181167576</v>
      </c>
      <c r="P734" s="310">
        <f t="shared" ca="1" si="337"/>
        <v>23</v>
      </c>
      <c r="Q734" s="304">
        <f t="shared" ca="1" si="338"/>
        <v>0</v>
      </c>
      <c r="R734" s="306">
        <f t="shared" ca="1" si="339"/>
        <v>0</v>
      </c>
      <c r="S734" s="307">
        <f t="shared" ca="1" si="340"/>
        <v>2.9792999999999985</v>
      </c>
      <c r="T734" s="304">
        <f t="shared" ca="1" si="320"/>
        <v>29.226932999999988</v>
      </c>
      <c r="U734" s="311">
        <f t="shared" ca="1" si="321"/>
        <v>0</v>
      </c>
      <c r="V734" s="306">
        <f t="shared" ca="1" si="322"/>
        <v>1.2253597331341204</v>
      </c>
      <c r="W734" s="304">
        <f t="shared" ca="1" si="323"/>
        <v>27.454231883481384</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0.57043717490833146</v>
      </c>
      <c r="AH734" s="304">
        <f t="shared" ca="1" si="347"/>
        <v>-9.2149744215114442</v>
      </c>
    </row>
    <row r="735" spans="1:34" x14ac:dyDescent="0.2">
      <c r="A735" s="347">
        <f t="shared" ca="1" si="325"/>
        <v>1E-4</v>
      </c>
      <c r="B735" s="304">
        <f t="shared" ca="1" si="326"/>
        <v>37.022700000000974</v>
      </c>
      <c r="D735" s="306">
        <f t="shared" ca="1" si="327"/>
        <v>-0.65202515662234617</v>
      </c>
      <c r="E735" s="307">
        <f t="shared" ca="1" si="328"/>
        <v>-0.61810252346743866</v>
      </c>
      <c r="F735" s="304">
        <f t="shared" ca="1" si="329"/>
        <v>0.89843616043946639</v>
      </c>
      <c r="G735" s="306">
        <f t="shared" ca="1" si="330"/>
        <v>7.4011955136610874</v>
      </c>
      <c r="H735" s="307">
        <f t="shared" ca="1" si="331"/>
        <v>-104.33902635665974</v>
      </c>
      <c r="I735" s="304">
        <f t="shared" ca="1" si="332"/>
        <v>104.60119557675797</v>
      </c>
      <c r="J735" s="306">
        <f t="shared" ca="1" si="333"/>
        <v>839.7136314269211</v>
      </c>
      <c r="K735" s="307">
        <f t="shared" ca="1" si="334"/>
        <v>-2.9465997959712182</v>
      </c>
      <c r="L735" s="304">
        <f t="shared" ca="1" si="319"/>
        <v>839.71880129871136</v>
      </c>
      <c r="M735" s="306">
        <f t="shared" ca="1" si="335"/>
        <v>-1.4999808351086275</v>
      </c>
      <c r="N735" s="304">
        <f t="shared" ca="1" si="336"/>
        <v>-85.942571202233012</v>
      </c>
      <c r="P735" s="310">
        <f t="shared" ca="1" si="337"/>
        <v>23</v>
      </c>
      <c r="Q735" s="304">
        <f t="shared" ca="1" si="338"/>
        <v>0</v>
      </c>
      <c r="R735" s="306">
        <f t="shared" ca="1" si="339"/>
        <v>0</v>
      </c>
      <c r="S735" s="307">
        <f t="shared" ca="1" si="340"/>
        <v>2.9792999999999985</v>
      </c>
      <c r="T735" s="304">
        <f t="shared" ca="1" si="320"/>
        <v>29.226932999999988</v>
      </c>
      <c r="U735" s="311">
        <f t="shared" ca="1" si="321"/>
        <v>0</v>
      </c>
      <c r="V735" s="306">
        <f t="shared" ca="1" si="322"/>
        <v>1.2253610116628511</v>
      </c>
      <c r="W735" s="304">
        <f t="shared" ca="1" si="323"/>
        <v>27.454290472071275</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0.57041797001585159</v>
      </c>
      <c r="AH735" s="304">
        <f t="shared" ca="1" si="347"/>
        <v>-9.2149940870276232</v>
      </c>
    </row>
    <row r="736" spans="1:34" x14ac:dyDescent="0.2">
      <c r="A736" s="347">
        <f t="shared" ca="1" si="325"/>
        <v>1E-4</v>
      </c>
      <c r="B736" s="304">
        <f t="shared" ca="1" si="326"/>
        <v>37.022800000000977</v>
      </c>
      <c r="D736" s="306">
        <f t="shared" ca="1" si="327"/>
        <v>-0.65202044838399986</v>
      </c>
      <c r="E736" s="307">
        <f t="shared" ca="1" si="328"/>
        <v>-0.6180824748585998</v>
      </c>
      <c r="F736" s="304">
        <f t="shared" ca="1" si="329"/>
        <v>0.89841895062281707</v>
      </c>
      <c r="G736" s="306">
        <f t="shared" ca="1" si="330"/>
        <v>7.4011303116162486</v>
      </c>
      <c r="H736" s="307">
        <f t="shared" ca="1" si="331"/>
        <v>-104.33908816490722</v>
      </c>
      <c r="I736" s="304">
        <f t="shared" ca="1" si="332"/>
        <v>104.60125261665755</v>
      </c>
      <c r="J736" s="306">
        <f t="shared" ca="1" si="333"/>
        <v>839.7136314269211</v>
      </c>
      <c r="K736" s="307">
        <f t="shared" ca="1" si="334"/>
        <v>-2.9570337016972967</v>
      </c>
      <c r="L736" s="304">
        <f t="shared" ca="1" si="319"/>
        <v>839.71883797643841</v>
      </c>
      <c r="M736" s="306">
        <f t="shared" ca="1" si="335"/>
        <v>-1.4999814986948345</v>
      </c>
      <c r="N736" s="304">
        <f t="shared" ca="1" si="336"/>
        <v>-85.942609222922016</v>
      </c>
      <c r="P736" s="310">
        <f t="shared" ca="1" si="337"/>
        <v>23</v>
      </c>
      <c r="Q736" s="304">
        <f t="shared" ca="1" si="338"/>
        <v>0</v>
      </c>
      <c r="R736" s="306">
        <f t="shared" ca="1" si="339"/>
        <v>0</v>
      </c>
      <c r="S736" s="307">
        <f t="shared" ca="1" si="340"/>
        <v>2.9792999999999985</v>
      </c>
      <c r="T736" s="304">
        <f t="shared" ca="1" si="320"/>
        <v>29.226932999999988</v>
      </c>
      <c r="U736" s="311">
        <f t="shared" ca="1" si="321"/>
        <v>0</v>
      </c>
      <c r="V736" s="306">
        <f t="shared" ca="1" si="322"/>
        <v>1.2253622901936736</v>
      </c>
      <c r="W736" s="304">
        <f t="shared" ca="1" si="323"/>
        <v>27.454349059778739</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0.570398765410701</v>
      </c>
      <c r="AH736" s="304">
        <f t="shared" ca="1" si="347"/>
        <v>-9.2150137522476054</v>
      </c>
    </row>
    <row r="737" spans="1:34" x14ac:dyDescent="0.2">
      <c r="A737" s="347">
        <f t="shared" ca="1" si="325"/>
        <v>1E-4</v>
      </c>
      <c r="B737" s="304">
        <f t="shared" ca="1" si="326"/>
        <v>37.02290000000098</v>
      </c>
      <c r="D737" s="306">
        <f t="shared" ca="1" si="327"/>
        <v>-0.65201574015876529</v>
      </c>
      <c r="E737" s="307">
        <f t="shared" ca="1" si="328"/>
        <v>-0.61806242655169008</v>
      </c>
      <c r="F737" s="304">
        <f t="shared" ca="1" si="329"/>
        <v>0.89840174116580263</v>
      </c>
      <c r="G737" s="306">
        <f t="shared" ca="1" si="330"/>
        <v>7.4010651100422331</v>
      </c>
      <c r="H737" s="307">
        <f t="shared" ca="1" si="331"/>
        <v>-104.33914997114988</v>
      </c>
      <c r="I737" s="304">
        <f t="shared" ca="1" si="332"/>
        <v>104.60130965463669</v>
      </c>
      <c r="J737" s="306">
        <f t="shared" ca="1" si="333"/>
        <v>839.7136314269211</v>
      </c>
      <c r="K737" s="307">
        <f t="shared" ca="1" si="334"/>
        <v>-2.9674676136040996</v>
      </c>
      <c r="L737" s="304">
        <f t="shared" ca="1" si="319"/>
        <v>839.71887478383201</v>
      </c>
      <c r="M737" s="306">
        <f t="shared" ca="1" si="335"/>
        <v>-1.499982162274472</v>
      </c>
      <c r="N737" s="304">
        <f t="shared" ca="1" si="336"/>
        <v>-85.942647243234617</v>
      </c>
      <c r="P737" s="310">
        <f t="shared" ca="1" si="337"/>
        <v>23</v>
      </c>
      <c r="Q737" s="304">
        <f t="shared" ca="1" si="338"/>
        <v>0</v>
      </c>
      <c r="R737" s="306">
        <f t="shared" ca="1" si="339"/>
        <v>0</v>
      </c>
      <c r="S737" s="307">
        <f t="shared" ca="1" si="340"/>
        <v>2.9792999999999985</v>
      </c>
      <c r="T737" s="304">
        <f t="shared" ca="1" si="320"/>
        <v>29.226932999999988</v>
      </c>
      <c r="U737" s="311">
        <f t="shared" ca="1" si="321"/>
        <v>0</v>
      </c>
      <c r="V737" s="306">
        <f t="shared" ca="1" si="322"/>
        <v>1.2253635687265878</v>
      </c>
      <c r="W737" s="304">
        <f t="shared" ca="1" si="323"/>
        <v>27.454407646603777</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0.57037956109286903</v>
      </c>
      <c r="AH737" s="304">
        <f t="shared" ca="1" si="347"/>
        <v>-9.2150334171713997</v>
      </c>
    </row>
    <row r="738" spans="1:34" x14ac:dyDescent="0.2">
      <c r="A738" s="347">
        <f t="shared" ca="1" si="325"/>
        <v>1E-4</v>
      </c>
      <c r="B738" s="304">
        <f t="shared" ca="1" si="326"/>
        <v>37.023000000000984</v>
      </c>
      <c r="D738" s="306">
        <f t="shared" ca="1" si="327"/>
        <v>-0.65201103194664134</v>
      </c>
      <c r="E738" s="307">
        <f t="shared" ca="1" si="328"/>
        <v>-0.61804237854670596</v>
      </c>
      <c r="F738" s="304">
        <f t="shared" ca="1" si="329"/>
        <v>0.89838453206841995</v>
      </c>
      <c r="G738" s="306">
        <f t="shared" ca="1" si="330"/>
        <v>7.4009999089390384</v>
      </c>
      <c r="H738" s="307">
        <f t="shared" ca="1" si="331"/>
        <v>-104.33921177538774</v>
      </c>
      <c r="I738" s="304">
        <f t="shared" ca="1" si="332"/>
        <v>104.60136669069543</v>
      </c>
      <c r="J738" s="306">
        <f t="shared" ca="1" si="333"/>
        <v>839.7136314269211</v>
      </c>
      <c r="K738" s="307">
        <f t="shared" ca="1" si="334"/>
        <v>-2.9779015316914266</v>
      </c>
      <c r="L738" s="304">
        <f t="shared" ca="1" si="319"/>
        <v>839.71891172089215</v>
      </c>
      <c r="M738" s="306">
        <f t="shared" ca="1" si="335"/>
        <v>-1.4999828258475398</v>
      </c>
      <c r="N738" s="304">
        <f t="shared" ca="1" si="336"/>
        <v>-85.942685263170802</v>
      </c>
      <c r="P738" s="310">
        <f t="shared" ca="1" si="337"/>
        <v>23</v>
      </c>
      <c r="Q738" s="304">
        <f t="shared" ca="1" si="338"/>
        <v>0</v>
      </c>
      <c r="R738" s="306">
        <f t="shared" ca="1" si="339"/>
        <v>0</v>
      </c>
      <c r="S738" s="307">
        <f t="shared" ca="1" si="340"/>
        <v>2.9792999999999985</v>
      </c>
      <c r="T738" s="304">
        <f t="shared" ca="1" si="320"/>
        <v>29.226932999999988</v>
      </c>
      <c r="U738" s="311">
        <f t="shared" ca="1" si="321"/>
        <v>0</v>
      </c>
      <c r="V738" s="306">
        <f t="shared" ca="1" si="322"/>
        <v>1.2253648472615934</v>
      </c>
      <c r="W738" s="304">
        <f t="shared" ca="1" si="323"/>
        <v>27.454466232546395</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0.57036035706235211</v>
      </c>
      <c r="AH738" s="304">
        <f t="shared" ca="1" si="347"/>
        <v>-9.2150530817990095</v>
      </c>
    </row>
    <row r="739" spans="1:34" x14ac:dyDescent="0.2">
      <c r="A739" s="347">
        <f t="shared" ca="1" si="325"/>
        <v>1E-4</v>
      </c>
      <c r="B739" s="304">
        <f t="shared" ca="1" si="326"/>
        <v>37.023100000000987</v>
      </c>
      <c r="D739" s="306">
        <f t="shared" ca="1" si="327"/>
        <v>-0.65200632374762946</v>
      </c>
      <c r="E739" s="307">
        <f t="shared" ca="1" si="328"/>
        <v>-0.61802233084364744</v>
      </c>
      <c r="F739" s="304">
        <f t="shared" ca="1" si="329"/>
        <v>0.89836732333067049</v>
      </c>
      <c r="G739" s="306">
        <f t="shared" ca="1" si="330"/>
        <v>7.4009347083066634</v>
      </c>
      <c r="H739" s="307">
        <f t="shared" ca="1" si="331"/>
        <v>-104.33927357762083</v>
      </c>
      <c r="I739" s="304">
        <f t="shared" ca="1" si="332"/>
        <v>104.60142372483379</v>
      </c>
      <c r="J739" s="306">
        <f t="shared" ca="1" si="333"/>
        <v>839.7136314269211</v>
      </c>
      <c r="K739" s="307">
        <f t="shared" ca="1" si="334"/>
        <v>-2.9883354559590769</v>
      </c>
      <c r="L739" s="304">
        <f t="shared" ca="1" si="319"/>
        <v>839.7189487876193</v>
      </c>
      <c r="M739" s="306">
        <f t="shared" ca="1" si="335"/>
        <v>-1.4999834894140383</v>
      </c>
      <c r="N739" s="304">
        <f t="shared" ca="1" si="336"/>
        <v>-85.942723282730583</v>
      </c>
      <c r="P739" s="310">
        <f t="shared" ca="1" si="337"/>
        <v>23</v>
      </c>
      <c r="Q739" s="304">
        <f t="shared" ca="1" si="338"/>
        <v>0</v>
      </c>
      <c r="R739" s="306">
        <f t="shared" ca="1" si="339"/>
        <v>0</v>
      </c>
      <c r="S739" s="307">
        <f t="shared" ca="1" si="340"/>
        <v>2.9792999999999985</v>
      </c>
      <c r="T739" s="304">
        <f t="shared" ca="1" si="320"/>
        <v>29.226932999999988</v>
      </c>
      <c r="U739" s="311">
        <f t="shared" ca="1" si="321"/>
        <v>0</v>
      </c>
      <c r="V739" s="306">
        <f t="shared" ca="1" si="322"/>
        <v>1.2253661257986905</v>
      </c>
      <c r="W739" s="304">
        <f t="shared" ca="1" si="323"/>
        <v>27.454524817606604</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0.57034115331914848</v>
      </c>
      <c r="AH739" s="304">
        <f t="shared" ca="1" si="347"/>
        <v>-9.2150727461304367</v>
      </c>
    </row>
    <row r="740" spans="1:34" x14ac:dyDescent="0.2">
      <c r="A740" s="347">
        <f t="shared" ca="1" si="325"/>
        <v>1E-4</v>
      </c>
      <c r="B740" s="304">
        <f t="shared" ca="1" si="326"/>
        <v>37.02320000000099</v>
      </c>
      <c r="D740" s="306">
        <f t="shared" ca="1" si="327"/>
        <v>-0.65200161556172864</v>
      </c>
      <c r="E740" s="307">
        <f t="shared" ca="1" si="328"/>
        <v>-0.61800228344251273</v>
      </c>
      <c r="F740" s="304">
        <f t="shared" ca="1" si="329"/>
        <v>0.89835011495255235</v>
      </c>
      <c r="G740" s="306">
        <f t="shared" ca="1" si="330"/>
        <v>7.4008695081451075</v>
      </c>
      <c r="H740" s="307">
        <f t="shared" ca="1" si="331"/>
        <v>-104.33933537784917</v>
      </c>
      <c r="I740" s="304">
        <f t="shared" ca="1" si="332"/>
        <v>104.6014807570518</v>
      </c>
      <c r="J740" s="306">
        <f t="shared" ca="1" si="333"/>
        <v>839.7136314269211</v>
      </c>
      <c r="K740" s="307">
        <f t="shared" ca="1" si="334"/>
        <v>-2.9987693864068503</v>
      </c>
      <c r="L740" s="304">
        <f t="shared" ca="1" si="319"/>
        <v>839.71898598401356</v>
      </c>
      <c r="M740" s="306">
        <f t="shared" ca="1" si="335"/>
        <v>-1.4999841529739673</v>
      </c>
      <c r="N740" s="304">
        <f t="shared" ca="1" si="336"/>
        <v>-85.942761301913976</v>
      </c>
      <c r="P740" s="310">
        <f t="shared" ca="1" si="337"/>
        <v>23</v>
      </c>
      <c r="Q740" s="304">
        <f t="shared" ca="1" si="338"/>
        <v>0</v>
      </c>
      <c r="R740" s="306">
        <f t="shared" ca="1" si="339"/>
        <v>0</v>
      </c>
      <c r="S740" s="307">
        <f t="shared" ca="1" si="340"/>
        <v>2.9792999999999985</v>
      </c>
      <c r="T740" s="304">
        <f t="shared" ca="1" si="320"/>
        <v>29.226932999999988</v>
      </c>
      <c r="U740" s="311">
        <f t="shared" ca="1" si="321"/>
        <v>0</v>
      </c>
      <c r="V740" s="306">
        <f t="shared" ca="1" si="322"/>
        <v>1.2253674043378788</v>
      </c>
      <c r="W740" s="304">
        <f t="shared" ca="1" si="323"/>
        <v>27.454583401784404</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0.57032194986325635</v>
      </c>
      <c r="AH740" s="304">
        <f t="shared" ca="1" si="347"/>
        <v>-9.215092410165683</v>
      </c>
    </row>
    <row r="741" spans="1:34" x14ac:dyDescent="0.2">
      <c r="A741" s="347">
        <f t="shared" ca="1" si="325"/>
        <v>1E-4</v>
      </c>
      <c r="B741" s="304">
        <f t="shared" ca="1" si="326"/>
        <v>37.023300000000994</v>
      </c>
      <c r="D741" s="306">
        <f t="shared" ca="1" si="327"/>
        <v>-0.65199690738893967</v>
      </c>
      <c r="E741" s="307">
        <f t="shared" ca="1" si="328"/>
        <v>-0.61798223634330007</v>
      </c>
      <c r="F741" s="304">
        <f t="shared" ca="1" si="329"/>
        <v>0.89833290693406531</v>
      </c>
      <c r="G741" s="306">
        <f t="shared" ca="1" si="330"/>
        <v>7.4008043084543687</v>
      </c>
      <c r="H741" s="307">
        <f t="shared" ca="1" si="331"/>
        <v>-104.33939717607281</v>
      </c>
      <c r="I741" s="304">
        <f t="shared" ca="1" si="332"/>
        <v>104.60153778734951</v>
      </c>
      <c r="J741" s="306">
        <f t="shared" ca="1" si="333"/>
        <v>839.7136314269211</v>
      </c>
      <c r="K741" s="307">
        <f t="shared" ca="1" si="334"/>
        <v>-3.0092033230345465</v>
      </c>
      <c r="L741" s="304">
        <f t="shared" ca="1" si="319"/>
        <v>839.71902331007516</v>
      </c>
      <c r="M741" s="306">
        <f t="shared" ca="1" si="335"/>
        <v>-1.4999848165273268</v>
      </c>
      <c r="N741" s="304">
        <f t="shared" ca="1" si="336"/>
        <v>-85.942799320720965</v>
      </c>
      <c r="P741" s="310">
        <f t="shared" ca="1" si="337"/>
        <v>23</v>
      </c>
      <c r="Q741" s="304">
        <f t="shared" ca="1" si="338"/>
        <v>0</v>
      </c>
      <c r="R741" s="306">
        <f t="shared" ca="1" si="339"/>
        <v>0</v>
      </c>
      <c r="S741" s="307">
        <f t="shared" ca="1" si="340"/>
        <v>2.9792999999999985</v>
      </c>
      <c r="T741" s="304">
        <f t="shared" ca="1" si="320"/>
        <v>29.226932999999988</v>
      </c>
      <c r="U741" s="311">
        <f t="shared" ca="1" si="321"/>
        <v>0</v>
      </c>
      <c r="V741" s="306">
        <f t="shared" ca="1" si="322"/>
        <v>1.2253686828791592</v>
      </c>
      <c r="W741" s="304">
        <f t="shared" ca="1" si="323"/>
        <v>27.454641985079835</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0.57030274669467751</v>
      </c>
      <c r="AH741" s="304">
        <f t="shared" ca="1" si="347"/>
        <v>-9.2151120739047485</v>
      </c>
    </row>
    <row r="742" spans="1:34" x14ac:dyDescent="0.2">
      <c r="A742" s="347">
        <f t="shared" ca="1" si="325"/>
        <v>1E-4</v>
      </c>
      <c r="B742" s="304">
        <f t="shared" ca="1" si="326"/>
        <v>37.023400000000997</v>
      </c>
      <c r="D742" s="306">
        <f t="shared" ca="1" si="327"/>
        <v>-0.65199219922926477</v>
      </c>
      <c r="E742" s="307">
        <f t="shared" ca="1" si="328"/>
        <v>-0.61796218954599347</v>
      </c>
      <c r="F742" s="304">
        <f t="shared" ca="1" si="329"/>
        <v>0.89831569927520005</v>
      </c>
      <c r="G742" s="306">
        <f t="shared" ca="1" si="330"/>
        <v>7.4007391092344461</v>
      </c>
      <c r="H742" s="307">
        <f t="shared" ca="1" si="331"/>
        <v>-104.33945897229177</v>
      </c>
      <c r="I742" s="304">
        <f t="shared" ca="1" si="332"/>
        <v>104.60159481572691</v>
      </c>
      <c r="J742" s="306">
        <f t="shared" ca="1" si="333"/>
        <v>839.7136314269211</v>
      </c>
      <c r="K742" s="307">
        <f t="shared" ca="1" si="334"/>
        <v>-3.0196372658419648</v>
      </c>
      <c r="L742" s="304">
        <f t="shared" ca="1" si="319"/>
        <v>839.71906076580422</v>
      </c>
      <c r="M742" s="306">
        <f t="shared" ca="1" si="335"/>
        <v>-1.4999854800741173</v>
      </c>
      <c r="N742" s="304">
        <f t="shared" ca="1" si="336"/>
        <v>-85.942837339151566</v>
      </c>
      <c r="P742" s="310">
        <f t="shared" ca="1" si="337"/>
        <v>23</v>
      </c>
      <c r="Q742" s="304">
        <f t="shared" ca="1" si="338"/>
        <v>0</v>
      </c>
      <c r="R742" s="306">
        <f t="shared" ca="1" si="339"/>
        <v>0</v>
      </c>
      <c r="S742" s="307">
        <f t="shared" ca="1" si="340"/>
        <v>2.9792999999999985</v>
      </c>
      <c r="T742" s="304">
        <f t="shared" ca="1" si="320"/>
        <v>29.226932999999988</v>
      </c>
      <c r="U742" s="311">
        <f t="shared" ca="1" si="321"/>
        <v>0</v>
      </c>
      <c r="V742" s="306">
        <f t="shared" ca="1" si="322"/>
        <v>1.2253699614225309</v>
      </c>
      <c r="W742" s="304">
        <f t="shared" ca="1" si="323"/>
        <v>27.454700567492875</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0.57028354381339597</v>
      </c>
      <c r="AH742" s="304">
        <f t="shared" ca="1" si="347"/>
        <v>-9.2151317373476491</v>
      </c>
    </row>
    <row r="743" spans="1:34" x14ac:dyDescent="0.2">
      <c r="A743" s="347">
        <f t="shared" ca="1" si="325"/>
        <v>1E-4</v>
      </c>
      <c r="B743" s="304">
        <f t="shared" ca="1" si="326"/>
        <v>37.023500000001</v>
      </c>
      <c r="D743" s="306">
        <f t="shared" ca="1" si="327"/>
        <v>-0.65198749108270238</v>
      </c>
      <c r="E743" s="307">
        <f t="shared" ca="1" si="328"/>
        <v>-0.61794214305060535</v>
      </c>
      <c r="F743" s="304">
        <f t="shared" ca="1" si="329"/>
        <v>0.89829849197596434</v>
      </c>
      <c r="G743" s="306">
        <f t="shared" ca="1" si="330"/>
        <v>7.4006739104853381</v>
      </c>
      <c r="H743" s="307">
        <f t="shared" ca="1" si="331"/>
        <v>-104.33952076650607</v>
      </c>
      <c r="I743" s="304">
        <f t="shared" ca="1" si="332"/>
        <v>104.60165184218407</v>
      </c>
      <c r="J743" s="306">
        <f t="shared" ca="1" si="333"/>
        <v>839.7136314269211</v>
      </c>
      <c r="K743" s="307">
        <f t="shared" ca="1" si="334"/>
        <v>-3.0300712148289048</v>
      </c>
      <c r="L743" s="304">
        <f t="shared" ca="1" si="319"/>
        <v>839.71909835120096</v>
      </c>
      <c r="M743" s="306">
        <f t="shared" ca="1" si="335"/>
        <v>-1.4999861436143382</v>
      </c>
      <c r="N743" s="304">
        <f t="shared" ca="1" si="336"/>
        <v>-85.942875357205764</v>
      </c>
      <c r="P743" s="310">
        <f t="shared" ca="1" si="337"/>
        <v>23</v>
      </c>
      <c r="Q743" s="304">
        <f t="shared" ca="1" si="338"/>
        <v>0</v>
      </c>
      <c r="R743" s="306">
        <f t="shared" ca="1" si="339"/>
        <v>0</v>
      </c>
      <c r="S743" s="307">
        <f t="shared" ca="1" si="340"/>
        <v>2.9792999999999985</v>
      </c>
      <c r="T743" s="304">
        <f t="shared" ca="1" si="320"/>
        <v>29.226932999999988</v>
      </c>
      <c r="U743" s="311">
        <f t="shared" ca="1" si="321"/>
        <v>0</v>
      </c>
      <c r="V743" s="306">
        <f t="shared" ca="1" si="322"/>
        <v>1.2253712399679935</v>
      </c>
      <c r="W743" s="304">
        <f t="shared" ca="1" si="323"/>
        <v>27.454759149023541</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0.5702643412194206</v>
      </c>
      <c r="AH743" s="304">
        <f t="shared" ca="1" si="347"/>
        <v>-9.2151514004943742</v>
      </c>
    </row>
    <row r="744" spans="1:34" x14ac:dyDescent="0.2">
      <c r="A744" s="347">
        <f t="shared" ca="1" si="325"/>
        <v>1E-4</v>
      </c>
      <c r="B744" s="304">
        <f t="shared" ca="1" si="326"/>
        <v>37.023600000001004</v>
      </c>
      <c r="D744" s="306">
        <f t="shared" ca="1" si="327"/>
        <v>-0.6519827829492556</v>
      </c>
      <c r="E744" s="307">
        <f t="shared" ca="1" si="328"/>
        <v>-0.61792209685712685</v>
      </c>
      <c r="F744" s="304">
        <f t="shared" ca="1" si="329"/>
        <v>0.89828128503635463</v>
      </c>
      <c r="G744" s="306">
        <f t="shared" ca="1" si="330"/>
        <v>7.4006087122070427</v>
      </c>
      <c r="H744" s="307">
        <f t="shared" ca="1" si="331"/>
        <v>-104.33958255871576</v>
      </c>
      <c r="I744" s="304">
        <f t="shared" ca="1" si="332"/>
        <v>104.60170886672098</v>
      </c>
      <c r="J744" s="306">
        <f t="shared" ca="1" si="333"/>
        <v>839.7136314269211</v>
      </c>
      <c r="K744" s="307">
        <f t="shared" ca="1" si="334"/>
        <v>-3.040505169995166</v>
      </c>
      <c r="L744" s="304">
        <f t="shared" ca="1" si="319"/>
        <v>839.71913606626583</v>
      </c>
      <c r="M744" s="306">
        <f t="shared" ca="1" si="335"/>
        <v>-1.4999868071479903</v>
      </c>
      <c r="N744" s="304">
        <f t="shared" ca="1" si="336"/>
        <v>-85.942913374883588</v>
      </c>
      <c r="P744" s="310">
        <f t="shared" ca="1" si="337"/>
        <v>23</v>
      </c>
      <c r="Q744" s="304">
        <f t="shared" ca="1" si="338"/>
        <v>0</v>
      </c>
      <c r="R744" s="306">
        <f t="shared" ca="1" si="339"/>
        <v>0</v>
      </c>
      <c r="S744" s="307">
        <f t="shared" ca="1" si="340"/>
        <v>2.9792999999999985</v>
      </c>
      <c r="T744" s="304">
        <f t="shared" ca="1" si="320"/>
        <v>29.226932999999988</v>
      </c>
      <c r="U744" s="311">
        <f t="shared" ca="1" si="321"/>
        <v>0</v>
      </c>
      <c r="V744" s="306">
        <f t="shared" ca="1" si="322"/>
        <v>1.2253725185155482</v>
      </c>
      <c r="W744" s="304">
        <f t="shared" ca="1" si="323"/>
        <v>27.454817729671856</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0.57024513891274786</v>
      </c>
      <c r="AH744" s="304">
        <f t="shared" ca="1" si="347"/>
        <v>-9.2151710633449309</v>
      </c>
    </row>
    <row r="745" spans="1:34" x14ac:dyDescent="0.2">
      <c r="A745" s="347">
        <f t="shared" ca="1" si="325"/>
        <v>1E-4</v>
      </c>
      <c r="B745" s="304">
        <f t="shared" ca="1" si="326"/>
        <v>37.023700000001007</v>
      </c>
      <c r="D745" s="306">
        <f t="shared" ca="1" si="327"/>
        <v>-0.65197807482892223</v>
      </c>
      <c r="E745" s="307">
        <f t="shared" ca="1" si="328"/>
        <v>-0.61790205096554907</v>
      </c>
      <c r="F745" s="304">
        <f t="shared" ca="1" si="329"/>
        <v>0.89826407845636336</v>
      </c>
      <c r="G745" s="306">
        <f t="shared" ca="1" si="330"/>
        <v>7.4005435143995602</v>
      </c>
      <c r="H745" s="307">
        <f t="shared" ca="1" si="331"/>
        <v>-104.33964434892086</v>
      </c>
      <c r="I745" s="304">
        <f t="shared" ca="1" si="332"/>
        <v>104.6017658893377</v>
      </c>
      <c r="J745" s="306">
        <f t="shared" ca="1" si="333"/>
        <v>839.7136314269211</v>
      </c>
      <c r="K745" s="307">
        <f t="shared" ca="1" si="334"/>
        <v>-3.0509391313405478</v>
      </c>
      <c r="L745" s="304">
        <f t="shared" ca="1" si="319"/>
        <v>839.71917391099885</v>
      </c>
      <c r="M745" s="306">
        <f t="shared" ca="1" si="335"/>
        <v>-1.4999874706750733</v>
      </c>
      <c r="N745" s="304">
        <f t="shared" ca="1" si="336"/>
        <v>-85.942951392185037</v>
      </c>
      <c r="P745" s="310">
        <f t="shared" ca="1" si="337"/>
        <v>23</v>
      </c>
      <c r="Q745" s="304">
        <f t="shared" ca="1" si="338"/>
        <v>0</v>
      </c>
      <c r="R745" s="306">
        <f t="shared" ca="1" si="339"/>
        <v>0</v>
      </c>
      <c r="S745" s="307">
        <f t="shared" ca="1" si="340"/>
        <v>2.9792999999999985</v>
      </c>
      <c r="T745" s="304">
        <f t="shared" ca="1" si="320"/>
        <v>29.226932999999988</v>
      </c>
      <c r="U745" s="311">
        <f t="shared" ca="1" si="321"/>
        <v>0</v>
      </c>
      <c r="V745" s="306">
        <f t="shared" ca="1" si="322"/>
        <v>1.2253737970651939</v>
      </c>
      <c r="W745" s="304">
        <f t="shared" ca="1" si="323"/>
        <v>27.454876309437822</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0.57022593689336354</v>
      </c>
      <c r="AH745" s="304">
        <f t="shared" ca="1" si="347"/>
        <v>-9.215190725899328</v>
      </c>
    </row>
    <row r="746" spans="1:34" x14ac:dyDescent="0.2">
      <c r="A746" s="347">
        <f t="shared" ca="1" si="325"/>
        <v>1E-4</v>
      </c>
      <c r="B746" s="304">
        <f t="shared" ca="1" si="326"/>
        <v>37.02380000000101</v>
      </c>
      <c r="D746" s="306">
        <f t="shared" ca="1" si="327"/>
        <v>-0.65197336672170325</v>
      </c>
      <c r="E746" s="307">
        <f t="shared" ca="1" si="328"/>
        <v>-0.61788200537587379</v>
      </c>
      <c r="F746" s="304">
        <f t="shared" ca="1" si="329"/>
        <v>0.89824687223599275</v>
      </c>
      <c r="G746" s="306">
        <f t="shared" ca="1" si="330"/>
        <v>7.4004783170628876</v>
      </c>
      <c r="H746" s="307">
        <f t="shared" ca="1" si="331"/>
        <v>-104.3397061371214</v>
      </c>
      <c r="I746" s="304">
        <f t="shared" ca="1" si="332"/>
        <v>104.60182291003426</v>
      </c>
      <c r="J746" s="306">
        <f t="shared" ca="1" si="333"/>
        <v>839.7136314269211</v>
      </c>
      <c r="K746" s="307">
        <f t="shared" ca="1" si="334"/>
        <v>-3.0613730988648498</v>
      </c>
      <c r="L746" s="304">
        <f t="shared" ca="1" si="319"/>
        <v>839.71921188540011</v>
      </c>
      <c r="M746" s="306">
        <f t="shared" ca="1" si="335"/>
        <v>-1.4999881341955874</v>
      </c>
      <c r="N746" s="304">
        <f t="shared" ca="1" si="336"/>
        <v>-85.942989409110112</v>
      </c>
      <c r="P746" s="310">
        <f t="shared" ca="1" si="337"/>
        <v>23</v>
      </c>
      <c r="Q746" s="304">
        <f t="shared" ca="1" si="338"/>
        <v>0</v>
      </c>
      <c r="R746" s="306">
        <f t="shared" ca="1" si="339"/>
        <v>0</v>
      </c>
      <c r="S746" s="307">
        <f t="shared" ca="1" si="340"/>
        <v>2.9792999999999985</v>
      </c>
      <c r="T746" s="304">
        <f t="shared" ca="1" si="320"/>
        <v>29.226932999999988</v>
      </c>
      <c r="U746" s="311">
        <f t="shared" ca="1" si="321"/>
        <v>0</v>
      </c>
      <c r="V746" s="306">
        <f t="shared" ca="1" si="322"/>
        <v>1.2253750756169313</v>
      </c>
      <c r="W746" s="304">
        <f t="shared" ca="1" si="323"/>
        <v>27.454934888321461</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0.57020673516127474</v>
      </c>
      <c r="AH746" s="304">
        <f t="shared" ca="1" si="347"/>
        <v>-9.2152103881575655</v>
      </c>
    </row>
    <row r="747" spans="1:34" x14ac:dyDescent="0.2">
      <c r="A747" s="347">
        <f t="shared" ca="1" si="325"/>
        <v>1E-4</v>
      </c>
      <c r="B747" s="304">
        <f t="shared" ca="1" si="326"/>
        <v>37.023900000001014</v>
      </c>
      <c r="D747" s="306">
        <f t="shared" ca="1" si="327"/>
        <v>-0.65196865862760001</v>
      </c>
      <c r="E747" s="307">
        <f t="shared" ca="1" si="328"/>
        <v>-0.61786196008809213</v>
      </c>
      <c r="F747" s="304">
        <f t="shared" ca="1" si="329"/>
        <v>0.89822966637523782</v>
      </c>
      <c r="G747" s="306">
        <f t="shared" ca="1" si="330"/>
        <v>7.4004131201970251</v>
      </c>
      <c r="H747" s="307">
        <f t="shared" ca="1" si="331"/>
        <v>-104.33976792331741</v>
      </c>
      <c r="I747" s="304">
        <f t="shared" ca="1" si="332"/>
        <v>104.60187992881065</v>
      </c>
      <c r="J747" s="306">
        <f t="shared" ca="1" si="333"/>
        <v>839.7136314269211</v>
      </c>
      <c r="K747" s="307">
        <f t="shared" ca="1" si="334"/>
        <v>-3.0718070725678719</v>
      </c>
      <c r="L747" s="304">
        <f t="shared" ca="1" si="319"/>
        <v>839.71924998947009</v>
      </c>
      <c r="M747" s="306">
        <f t="shared" ca="1" si="335"/>
        <v>-1.4999887977095325</v>
      </c>
      <c r="N747" s="304">
        <f t="shared" ca="1" si="336"/>
        <v>-85.943027425658812</v>
      </c>
      <c r="P747" s="310">
        <f t="shared" ca="1" si="337"/>
        <v>23</v>
      </c>
      <c r="Q747" s="304">
        <f t="shared" ca="1" si="338"/>
        <v>0</v>
      </c>
      <c r="R747" s="306">
        <f t="shared" ca="1" si="339"/>
        <v>0</v>
      </c>
      <c r="S747" s="307">
        <f t="shared" ca="1" si="340"/>
        <v>2.9792999999999985</v>
      </c>
      <c r="T747" s="304">
        <f t="shared" ca="1" si="320"/>
        <v>29.226932999999988</v>
      </c>
      <c r="U747" s="311">
        <f t="shared" ca="1" si="321"/>
        <v>0</v>
      </c>
      <c r="V747" s="306">
        <f t="shared" ca="1" si="322"/>
        <v>1.2253763541707596</v>
      </c>
      <c r="W747" s="304">
        <f t="shared" ca="1" si="323"/>
        <v>27.454993466322755</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0.57018753371646902</v>
      </c>
      <c r="AH747" s="304">
        <f t="shared" ca="1" si="347"/>
        <v>-9.2152300501196507</v>
      </c>
    </row>
    <row r="748" spans="1:34" x14ac:dyDescent="0.2">
      <c r="A748" s="347">
        <f t="shared" ca="1" si="325"/>
        <v>1E-4</v>
      </c>
      <c r="B748" s="304">
        <f t="shared" ca="1" si="326"/>
        <v>37.024000000001017</v>
      </c>
      <c r="D748" s="306">
        <f t="shared" ca="1" si="327"/>
        <v>-0.65196395054661305</v>
      </c>
      <c r="E748" s="307">
        <f t="shared" ca="1" si="328"/>
        <v>-0.6178419151022112</v>
      </c>
      <c r="F748" s="304">
        <f t="shared" ca="1" si="329"/>
        <v>0.89821246087410433</v>
      </c>
      <c r="G748" s="306">
        <f t="shared" ca="1" si="330"/>
        <v>7.40034792380197</v>
      </c>
      <c r="H748" s="307">
        <f t="shared" ca="1" si="331"/>
        <v>-104.33982970750893</v>
      </c>
      <c r="I748" s="304">
        <f t="shared" ca="1" si="332"/>
        <v>104.60193694566694</v>
      </c>
      <c r="J748" s="306">
        <f t="shared" ca="1" si="333"/>
        <v>839.7136314269211</v>
      </c>
      <c r="K748" s="307">
        <f t="shared" ca="1" si="334"/>
        <v>-3.082241052449413</v>
      </c>
      <c r="L748" s="304">
        <f t="shared" ca="1" si="319"/>
        <v>839.71928822320888</v>
      </c>
      <c r="M748" s="306">
        <f t="shared" ca="1" si="335"/>
        <v>-1.4999894612169089</v>
      </c>
      <c r="N748" s="304">
        <f t="shared" ca="1" si="336"/>
        <v>-85.943065441831166</v>
      </c>
      <c r="P748" s="310">
        <f t="shared" ca="1" si="337"/>
        <v>23</v>
      </c>
      <c r="Q748" s="304">
        <f t="shared" ca="1" si="338"/>
        <v>0</v>
      </c>
      <c r="R748" s="306">
        <f t="shared" ca="1" si="339"/>
        <v>0</v>
      </c>
      <c r="S748" s="307">
        <f t="shared" ca="1" si="340"/>
        <v>2.9792999999999985</v>
      </c>
      <c r="T748" s="304">
        <f t="shared" ca="1" si="320"/>
        <v>29.226932999999988</v>
      </c>
      <c r="U748" s="311">
        <f t="shared" ca="1" si="321"/>
        <v>0</v>
      </c>
      <c r="V748" s="306">
        <f t="shared" ca="1" si="322"/>
        <v>1.2253776327266797</v>
      </c>
      <c r="W748" s="304">
        <f t="shared" ca="1" si="323"/>
        <v>27.455052043441739</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0.57016833255895527</v>
      </c>
      <c r="AH748" s="304">
        <f t="shared" ca="1" si="347"/>
        <v>-9.2152497117855763</v>
      </c>
    </row>
    <row r="749" spans="1:34" x14ac:dyDescent="0.2">
      <c r="A749" s="347">
        <f t="shared" ca="1" si="325"/>
        <v>1E-4</v>
      </c>
      <c r="B749" s="304">
        <f t="shared" ca="1" si="326"/>
        <v>37.02410000000102</v>
      </c>
      <c r="D749" s="306">
        <f t="shared" ca="1" si="327"/>
        <v>-0.65195924247874237</v>
      </c>
      <c r="E749" s="307">
        <f t="shared" ca="1" si="328"/>
        <v>-0.61782187041821679</v>
      </c>
      <c r="F749" s="304">
        <f t="shared" ca="1" si="329"/>
        <v>0.89819525573258252</v>
      </c>
      <c r="G749" s="306">
        <f t="shared" ca="1" si="330"/>
        <v>7.4002827278777223</v>
      </c>
      <c r="H749" s="307">
        <f t="shared" ca="1" si="331"/>
        <v>-104.33989148969597</v>
      </c>
      <c r="I749" s="304">
        <f t="shared" ca="1" si="332"/>
        <v>104.60199396060314</v>
      </c>
      <c r="J749" s="306">
        <f t="shared" ca="1" si="333"/>
        <v>839.7136314269211</v>
      </c>
      <c r="K749" s="307">
        <f t="shared" ca="1" si="334"/>
        <v>-3.0926750385092734</v>
      </c>
      <c r="L749" s="304">
        <f t="shared" ca="1" si="319"/>
        <v>839.7193265866166</v>
      </c>
      <c r="M749" s="306">
        <f t="shared" ca="1" si="335"/>
        <v>-1.4999901247177168</v>
      </c>
      <c r="N749" s="304">
        <f t="shared" ca="1" si="336"/>
        <v>-85.94310345762716</v>
      </c>
      <c r="P749" s="310">
        <f t="shared" ca="1" si="337"/>
        <v>23</v>
      </c>
      <c r="Q749" s="304">
        <f t="shared" ca="1" si="338"/>
        <v>0</v>
      </c>
      <c r="R749" s="306">
        <f t="shared" ca="1" si="339"/>
        <v>0</v>
      </c>
      <c r="S749" s="307">
        <f t="shared" ca="1" si="340"/>
        <v>2.9792999999999985</v>
      </c>
      <c r="T749" s="304">
        <f t="shared" ca="1" si="320"/>
        <v>29.226932999999988</v>
      </c>
      <c r="U749" s="311">
        <f t="shared" ca="1" si="321"/>
        <v>0</v>
      </c>
      <c r="V749" s="306">
        <f t="shared" ca="1" si="322"/>
        <v>1.2253789112846909</v>
      </c>
      <c r="W749" s="304">
        <f t="shared" ca="1" si="323"/>
        <v>27.455110619678415</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0.57014913168872106</v>
      </c>
      <c r="AH749" s="304">
        <f t="shared" ca="1" si="347"/>
        <v>-9.2152693731553565</v>
      </c>
    </row>
    <row r="750" spans="1:34" x14ac:dyDescent="0.2">
      <c r="A750" s="347">
        <f t="shared" ca="1" si="325"/>
        <v>1E-4</v>
      </c>
      <c r="B750" s="304">
        <f t="shared" ca="1" si="326"/>
        <v>37.024200000001024</v>
      </c>
      <c r="D750" s="306">
        <f t="shared" ca="1" si="327"/>
        <v>-0.65195453442398688</v>
      </c>
      <c r="E750" s="307">
        <f t="shared" ca="1" si="328"/>
        <v>-0.61780182603611067</v>
      </c>
      <c r="F750" s="304">
        <f t="shared" ca="1" si="329"/>
        <v>0.89817805095067327</v>
      </c>
      <c r="G750" s="306">
        <f t="shared" ca="1" si="330"/>
        <v>7.4002175324242803</v>
      </c>
      <c r="H750" s="307">
        <f t="shared" ca="1" si="331"/>
        <v>-104.33995326987858</v>
      </c>
      <c r="I750" s="304">
        <f t="shared" ca="1" si="332"/>
        <v>104.60205097361928</v>
      </c>
      <c r="J750" s="306">
        <f t="shared" ca="1" si="333"/>
        <v>839.7136314269211</v>
      </c>
      <c r="K750" s="307">
        <f t="shared" ca="1" si="334"/>
        <v>-3.1031090307472522</v>
      </c>
      <c r="L750" s="304">
        <f t="shared" ca="1" si="319"/>
        <v>839.7193650796936</v>
      </c>
      <c r="M750" s="306">
        <f t="shared" ca="1" si="335"/>
        <v>-1.4999907882119559</v>
      </c>
      <c r="N750" s="304">
        <f t="shared" ca="1" si="336"/>
        <v>-85.943141473046779</v>
      </c>
      <c r="P750" s="310">
        <f t="shared" ca="1" si="337"/>
        <v>23</v>
      </c>
      <c r="Q750" s="304">
        <f t="shared" ca="1" si="338"/>
        <v>0</v>
      </c>
      <c r="R750" s="306">
        <f t="shared" ca="1" si="339"/>
        <v>0</v>
      </c>
      <c r="S750" s="307">
        <f t="shared" ca="1" si="340"/>
        <v>2.9792999999999985</v>
      </c>
      <c r="T750" s="304">
        <f t="shared" ca="1" si="320"/>
        <v>29.226932999999988</v>
      </c>
      <c r="U750" s="311">
        <f t="shared" ca="1" si="321"/>
        <v>0</v>
      </c>
      <c r="V750" s="306">
        <f t="shared" ca="1" si="322"/>
        <v>1.2253801898447936</v>
      </c>
      <c r="W750" s="304">
        <f t="shared" ca="1" si="323"/>
        <v>27.455169195032802</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0.57012993110576637</v>
      </c>
      <c r="AH750" s="304">
        <f t="shared" ca="1" si="347"/>
        <v>-9.2152890342289897</v>
      </c>
    </row>
    <row r="751" spans="1:34" x14ac:dyDescent="0.2">
      <c r="A751" s="347">
        <f t="shared" ca="1" si="325"/>
        <v>1E-4</v>
      </c>
      <c r="B751" s="304">
        <f t="shared" ca="1" si="326"/>
        <v>37.024300000001027</v>
      </c>
      <c r="D751" s="306">
        <f t="shared" ca="1" si="327"/>
        <v>-0.65194982638234988</v>
      </c>
      <c r="E751" s="307">
        <f t="shared" ca="1" si="328"/>
        <v>-0.61778178195588751</v>
      </c>
      <c r="F751" s="304">
        <f t="shared" ca="1" si="329"/>
        <v>0.89816084652837536</v>
      </c>
      <c r="G751" s="306">
        <f t="shared" ca="1" si="330"/>
        <v>7.400152337441642</v>
      </c>
      <c r="H751" s="307">
        <f t="shared" ca="1" si="331"/>
        <v>-104.34001504805677</v>
      </c>
      <c r="I751" s="304">
        <f t="shared" ca="1" si="332"/>
        <v>104.60210798471537</v>
      </c>
      <c r="J751" s="306">
        <f t="shared" ca="1" si="333"/>
        <v>839.7136314269211</v>
      </c>
      <c r="K751" s="307">
        <f t="shared" ca="1" si="334"/>
        <v>-3.1135430291631492</v>
      </c>
      <c r="L751" s="304">
        <f t="shared" ca="1" si="319"/>
        <v>839.7194037024401</v>
      </c>
      <c r="M751" s="306">
        <f t="shared" ca="1" si="335"/>
        <v>-1.4999914516996262</v>
      </c>
      <c r="N751" s="304">
        <f t="shared" ca="1" si="336"/>
        <v>-85.943179488090053</v>
      </c>
      <c r="P751" s="310">
        <f t="shared" ca="1" si="337"/>
        <v>23</v>
      </c>
      <c r="Q751" s="304">
        <f t="shared" ca="1" si="338"/>
        <v>0</v>
      </c>
      <c r="R751" s="306">
        <f t="shared" ca="1" si="339"/>
        <v>0</v>
      </c>
      <c r="S751" s="307">
        <f t="shared" ca="1" si="340"/>
        <v>2.9792999999999985</v>
      </c>
      <c r="T751" s="304">
        <f t="shared" ca="1" si="320"/>
        <v>29.226932999999988</v>
      </c>
      <c r="U751" s="311">
        <f t="shared" ca="1" si="321"/>
        <v>0</v>
      </c>
      <c r="V751" s="306">
        <f t="shared" ca="1" si="322"/>
        <v>1.2253814684069875</v>
      </c>
      <c r="W751" s="304">
        <f t="shared" ca="1" si="323"/>
        <v>27.45522776950488</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0.57011073081008412</v>
      </c>
      <c r="AH751" s="304">
        <f t="shared" ca="1" si="347"/>
        <v>-9.2153086950064829</v>
      </c>
    </row>
    <row r="752" spans="1:34" x14ac:dyDescent="0.2">
      <c r="A752" s="347">
        <f t="shared" ca="1" si="325"/>
        <v>1E-4</v>
      </c>
      <c r="B752" s="304">
        <f t="shared" ca="1" si="326"/>
        <v>37.02440000000103</v>
      </c>
      <c r="D752" s="306">
        <f t="shared" ca="1" si="327"/>
        <v>-0.65194511835383206</v>
      </c>
      <c r="E752" s="307">
        <f t="shared" ca="1" si="328"/>
        <v>-0.61776173817754909</v>
      </c>
      <c r="F752" s="304">
        <f t="shared" ca="1" si="329"/>
        <v>0.89814364246569089</v>
      </c>
      <c r="G752" s="306">
        <f t="shared" ca="1" si="330"/>
        <v>7.4000871429298067</v>
      </c>
      <c r="H752" s="307">
        <f t="shared" ca="1" si="331"/>
        <v>-104.34007682423059</v>
      </c>
      <c r="I752" s="304">
        <f t="shared" ca="1" si="332"/>
        <v>104.60216499389149</v>
      </c>
      <c r="J752" s="306">
        <f t="shared" ca="1" si="333"/>
        <v>839.7136314269211</v>
      </c>
      <c r="K752" s="307">
        <f t="shared" ca="1" si="334"/>
        <v>-3.1239770337567636</v>
      </c>
      <c r="L752" s="304">
        <f t="shared" ca="1" si="319"/>
        <v>839.71944245485622</v>
      </c>
      <c r="M752" s="306">
        <f t="shared" ca="1" si="335"/>
        <v>-1.4999921151807283</v>
      </c>
      <c r="N752" s="304">
        <f t="shared" ca="1" si="336"/>
        <v>-85.943217502756994</v>
      </c>
      <c r="P752" s="310">
        <f t="shared" ca="1" si="337"/>
        <v>23</v>
      </c>
      <c r="Q752" s="304">
        <f t="shared" ca="1" si="338"/>
        <v>0</v>
      </c>
      <c r="R752" s="306">
        <f t="shared" ca="1" si="339"/>
        <v>0</v>
      </c>
      <c r="S752" s="307">
        <f t="shared" ca="1" si="340"/>
        <v>2.9792999999999985</v>
      </c>
      <c r="T752" s="304">
        <f t="shared" ca="1" si="320"/>
        <v>29.226932999999988</v>
      </c>
      <c r="U752" s="311">
        <f t="shared" ca="1" si="321"/>
        <v>0</v>
      </c>
      <c r="V752" s="306">
        <f t="shared" ca="1" si="322"/>
        <v>1.2253827469712726</v>
      </c>
      <c r="W752" s="304">
        <f t="shared" ca="1" si="323"/>
        <v>27.455286343094699</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0.57009153080168318</v>
      </c>
      <c r="AH752" s="304">
        <f t="shared" ca="1" si="347"/>
        <v>-9.2153283554878307</v>
      </c>
    </row>
    <row r="753" spans="1:34" x14ac:dyDescent="0.2">
      <c r="A753" s="347">
        <f t="shared" ca="1" si="325"/>
        <v>1E-4</v>
      </c>
      <c r="B753" s="304">
        <f t="shared" ca="1" si="326"/>
        <v>37.024500000001034</v>
      </c>
      <c r="D753" s="306">
        <f t="shared" ca="1" si="327"/>
        <v>-0.65194041033843142</v>
      </c>
      <c r="E753" s="307">
        <f t="shared" ca="1" si="328"/>
        <v>-0.61774169470108298</v>
      </c>
      <c r="F753" s="304">
        <f t="shared" ca="1" si="329"/>
        <v>0.89812643876261011</v>
      </c>
      <c r="G753" s="306">
        <f t="shared" ca="1" si="330"/>
        <v>7.4000219488887726</v>
      </c>
      <c r="H753" s="307">
        <f t="shared" ca="1" si="331"/>
        <v>-104.34013859840006</v>
      </c>
      <c r="I753" s="304">
        <f t="shared" ca="1" si="332"/>
        <v>104.60222200114761</v>
      </c>
      <c r="J753" s="306">
        <f t="shared" ca="1" si="333"/>
        <v>839.7136314269211</v>
      </c>
      <c r="K753" s="307">
        <f t="shared" ca="1" si="334"/>
        <v>-3.1344110445278952</v>
      </c>
      <c r="L753" s="304">
        <f t="shared" ca="1" si="319"/>
        <v>839.71948133694218</v>
      </c>
      <c r="M753" s="306">
        <f t="shared" ca="1" si="335"/>
        <v>-1.499992778655262</v>
      </c>
      <c r="N753" s="304">
        <f t="shared" ca="1" si="336"/>
        <v>-85.943255517047589</v>
      </c>
      <c r="P753" s="310">
        <f t="shared" ca="1" si="337"/>
        <v>23</v>
      </c>
      <c r="Q753" s="304">
        <f t="shared" ca="1" si="338"/>
        <v>0</v>
      </c>
      <c r="R753" s="306">
        <f t="shared" ca="1" si="339"/>
        <v>0</v>
      </c>
      <c r="S753" s="307">
        <f t="shared" ca="1" si="340"/>
        <v>2.9792999999999985</v>
      </c>
      <c r="T753" s="304">
        <f t="shared" ca="1" si="320"/>
        <v>29.226932999999988</v>
      </c>
      <c r="U753" s="311">
        <f t="shared" ca="1" si="321"/>
        <v>0</v>
      </c>
      <c r="V753" s="306">
        <f t="shared" ca="1" si="322"/>
        <v>1.2253840255376489</v>
      </c>
      <c r="W753" s="304">
        <f t="shared" ca="1" si="323"/>
        <v>27.455344915802232</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0.57007233108054578</v>
      </c>
      <c r="AH753" s="304">
        <f t="shared" ca="1" si="347"/>
        <v>-9.2153480156730474</v>
      </c>
    </row>
    <row r="754" spans="1:34" x14ac:dyDescent="0.2">
      <c r="A754" s="347">
        <f t="shared" ca="1" si="325"/>
        <v>1E-4</v>
      </c>
      <c r="B754" s="304">
        <f t="shared" ca="1" si="326"/>
        <v>37.024600000001037</v>
      </c>
      <c r="D754" s="306">
        <f t="shared" ca="1" si="327"/>
        <v>-0.65193570233614839</v>
      </c>
      <c r="E754" s="307">
        <f t="shared" ca="1" si="328"/>
        <v>-0.6177216515264945</v>
      </c>
      <c r="F754" s="304">
        <f t="shared" ca="1" si="329"/>
        <v>0.89810923541913712</v>
      </c>
      <c r="G754" s="306">
        <f t="shared" ca="1" si="330"/>
        <v>7.3999567553185388</v>
      </c>
      <c r="H754" s="307">
        <f t="shared" ca="1" si="331"/>
        <v>-104.34020037056521</v>
      </c>
      <c r="I754" s="304">
        <f t="shared" ca="1" si="332"/>
        <v>104.6022790064838</v>
      </c>
      <c r="J754" s="306">
        <f t="shared" ca="1" si="333"/>
        <v>839.7136314269211</v>
      </c>
      <c r="K754" s="307">
        <f t="shared" ca="1" si="334"/>
        <v>-3.1448450614763437</v>
      </c>
      <c r="L754" s="304">
        <f t="shared" ca="1" si="319"/>
        <v>839.71952034869821</v>
      </c>
      <c r="M754" s="306">
        <f t="shared" ca="1" si="335"/>
        <v>-1.4999934421232275</v>
      </c>
      <c r="N754" s="304">
        <f t="shared" ca="1" si="336"/>
        <v>-85.943293530961853</v>
      </c>
      <c r="P754" s="310">
        <f t="shared" ca="1" si="337"/>
        <v>23</v>
      </c>
      <c r="Q754" s="304">
        <f t="shared" ca="1" si="338"/>
        <v>0</v>
      </c>
      <c r="R754" s="306">
        <f t="shared" ca="1" si="339"/>
        <v>0</v>
      </c>
      <c r="S754" s="307">
        <f t="shared" ca="1" si="340"/>
        <v>2.9792999999999985</v>
      </c>
      <c r="T754" s="304">
        <f t="shared" ca="1" si="320"/>
        <v>29.226932999999988</v>
      </c>
      <c r="U754" s="311">
        <f t="shared" ca="1" si="321"/>
        <v>0</v>
      </c>
      <c r="V754" s="306">
        <f t="shared" ca="1" si="322"/>
        <v>1.2253853041061169</v>
      </c>
      <c r="W754" s="304">
        <f t="shared" ca="1" si="323"/>
        <v>27.455403487627521</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0.57005313164667903</v>
      </c>
      <c r="AH754" s="304">
        <f t="shared" ca="1" si="347"/>
        <v>-9.2153676755621277</v>
      </c>
    </row>
    <row r="755" spans="1:34" x14ac:dyDescent="0.2">
      <c r="A755" s="347">
        <f t="shared" ca="1" si="325"/>
        <v>1E-4</v>
      </c>
      <c r="B755" s="304">
        <f t="shared" ca="1" si="326"/>
        <v>37.02470000000104</v>
      </c>
      <c r="D755" s="306">
        <f t="shared" ca="1" si="327"/>
        <v>-0.65193099434698487</v>
      </c>
      <c r="E755" s="307">
        <f t="shared" ca="1" si="328"/>
        <v>-0.61770160865377299</v>
      </c>
      <c r="F755" s="304">
        <f t="shared" ca="1" si="329"/>
        <v>0.89809203243526625</v>
      </c>
      <c r="G755" s="306">
        <f t="shared" ca="1" si="330"/>
        <v>7.3998915622191044</v>
      </c>
      <c r="H755" s="307">
        <f t="shared" ca="1" si="331"/>
        <v>-104.34026214072608</v>
      </c>
      <c r="I755" s="304">
        <f t="shared" ca="1" si="332"/>
        <v>104.60233600990009</v>
      </c>
      <c r="J755" s="306">
        <f t="shared" ca="1" si="333"/>
        <v>839.7136314269211</v>
      </c>
      <c r="K755" s="307">
        <f t="shared" ca="1" si="334"/>
        <v>-3.1552790846019083</v>
      </c>
      <c r="L755" s="304">
        <f t="shared" ca="1" si="319"/>
        <v>839.71955949012454</v>
      </c>
      <c r="M755" s="306">
        <f t="shared" ca="1" si="335"/>
        <v>-1.4999941055846246</v>
      </c>
      <c r="N755" s="304">
        <f t="shared" ca="1" si="336"/>
        <v>-85.943331544499785</v>
      </c>
      <c r="P755" s="310">
        <f t="shared" ca="1" si="337"/>
        <v>23</v>
      </c>
      <c r="Q755" s="304">
        <f t="shared" ca="1" si="338"/>
        <v>0</v>
      </c>
      <c r="R755" s="306">
        <f t="shared" ca="1" si="339"/>
        <v>0</v>
      </c>
      <c r="S755" s="307">
        <f t="shared" ca="1" si="340"/>
        <v>2.9792999999999985</v>
      </c>
      <c r="T755" s="304">
        <f t="shared" ca="1" si="320"/>
        <v>29.226932999999988</v>
      </c>
      <c r="U755" s="311">
        <f t="shared" ca="1" si="321"/>
        <v>0</v>
      </c>
      <c r="V755" s="306">
        <f t="shared" ca="1" si="322"/>
        <v>1.2253865826766757</v>
      </c>
      <c r="W755" s="304">
        <f t="shared" ca="1" si="323"/>
        <v>27.455462058570561</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0.57003393250007228</v>
      </c>
      <c r="AH755" s="304">
        <f t="shared" ca="1" si="347"/>
        <v>-9.2153873351550821</v>
      </c>
    </row>
    <row r="756" spans="1:34" x14ac:dyDescent="0.2">
      <c r="A756" s="347">
        <f t="shared" ca="1" si="325"/>
        <v>1E-4</v>
      </c>
      <c r="B756" s="304">
        <f t="shared" ca="1" si="326"/>
        <v>37.024800000001044</v>
      </c>
      <c r="D756" s="306">
        <f t="shared" ca="1" si="327"/>
        <v>-0.65192628637094174</v>
      </c>
      <c r="E756" s="307">
        <f t="shared" ca="1" si="328"/>
        <v>-0.61768156608292024</v>
      </c>
      <c r="F756" s="304">
        <f t="shared" ca="1" si="329"/>
        <v>0.89807482981099973</v>
      </c>
      <c r="G756" s="306">
        <f t="shared" ca="1" si="330"/>
        <v>7.3998263695904676</v>
      </c>
      <c r="H756" s="307">
        <f t="shared" ca="1" si="331"/>
        <v>-104.3403239088827</v>
      </c>
      <c r="I756" s="304">
        <f t="shared" ca="1" si="332"/>
        <v>104.60239301139646</v>
      </c>
      <c r="J756" s="306">
        <f t="shared" ca="1" si="333"/>
        <v>839.7136314269211</v>
      </c>
      <c r="K756" s="307">
        <f t="shared" ca="1" si="334"/>
        <v>-3.1657131139043888</v>
      </c>
      <c r="L756" s="304">
        <f t="shared" ca="1" si="319"/>
        <v>839.71959876122139</v>
      </c>
      <c r="M756" s="306">
        <f t="shared" ca="1" si="335"/>
        <v>-1.4999947690394537</v>
      </c>
      <c r="N756" s="304">
        <f t="shared" ca="1" si="336"/>
        <v>-85.943369557661384</v>
      </c>
      <c r="P756" s="310">
        <f t="shared" ca="1" si="337"/>
        <v>23</v>
      </c>
      <c r="Q756" s="304">
        <f t="shared" ca="1" si="338"/>
        <v>0</v>
      </c>
      <c r="R756" s="306">
        <f t="shared" ca="1" si="339"/>
        <v>0</v>
      </c>
      <c r="S756" s="307">
        <f t="shared" ca="1" si="340"/>
        <v>2.9792999999999985</v>
      </c>
      <c r="T756" s="304">
        <f t="shared" ca="1" si="320"/>
        <v>29.226932999999988</v>
      </c>
      <c r="U756" s="311">
        <f t="shared" ca="1" si="321"/>
        <v>0</v>
      </c>
      <c r="V756" s="306">
        <f t="shared" ca="1" si="322"/>
        <v>1.2253878612493254</v>
      </c>
      <c r="W756" s="304">
        <f t="shared" ca="1" si="323"/>
        <v>27.455520628631348</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0.5700147336407273</v>
      </c>
      <c r="AH756" s="304">
        <f t="shared" ca="1" si="347"/>
        <v>-9.215406994451909</v>
      </c>
    </row>
    <row r="757" spans="1:34" x14ac:dyDescent="0.2">
      <c r="A757" s="347">
        <f t="shared" ca="1" si="325"/>
        <v>1E-4</v>
      </c>
      <c r="B757" s="304">
        <f t="shared" ca="1" si="326"/>
        <v>37.024900000001047</v>
      </c>
      <c r="D757" s="306">
        <f t="shared" ca="1" si="327"/>
        <v>-0.65192157840801779</v>
      </c>
      <c r="E757" s="307">
        <f t="shared" ca="1" si="328"/>
        <v>-0.61766152381393447</v>
      </c>
      <c r="F757" s="304">
        <f t="shared" ca="1" si="329"/>
        <v>0.89805762754633556</v>
      </c>
      <c r="G757" s="306">
        <f t="shared" ca="1" si="330"/>
        <v>7.3997611774326266</v>
      </c>
      <c r="H757" s="307">
        <f t="shared" ca="1" si="331"/>
        <v>-104.34038567503508</v>
      </c>
      <c r="I757" s="304">
        <f t="shared" ca="1" si="332"/>
        <v>104.60245001097299</v>
      </c>
      <c r="J757" s="306">
        <f t="shared" ca="1" si="333"/>
        <v>839.7136314269211</v>
      </c>
      <c r="K757" s="307">
        <f t="shared" ca="1" si="334"/>
        <v>-3.1761471493835849</v>
      </c>
      <c r="L757" s="304">
        <f t="shared" ca="1" si="319"/>
        <v>839.719638161989</v>
      </c>
      <c r="M757" s="306">
        <f t="shared" ca="1" si="335"/>
        <v>-1.4999954324877147</v>
      </c>
      <c r="N757" s="304">
        <f t="shared" ca="1" si="336"/>
        <v>-85.943407570446666</v>
      </c>
      <c r="P757" s="310">
        <f t="shared" ca="1" si="337"/>
        <v>23</v>
      </c>
      <c r="Q757" s="304">
        <f t="shared" ca="1" si="338"/>
        <v>0</v>
      </c>
      <c r="R757" s="306">
        <f t="shared" ca="1" si="339"/>
        <v>0</v>
      </c>
      <c r="S757" s="307">
        <f t="shared" ca="1" si="340"/>
        <v>2.9792999999999985</v>
      </c>
      <c r="T757" s="304">
        <f t="shared" ca="1" si="320"/>
        <v>29.226932999999988</v>
      </c>
      <c r="U757" s="311">
        <f t="shared" ca="1" si="321"/>
        <v>0</v>
      </c>
      <c r="V757" s="306">
        <f t="shared" ca="1" si="322"/>
        <v>1.2253891398240668</v>
      </c>
      <c r="W757" s="304">
        <f t="shared" ca="1" si="323"/>
        <v>27.455579197809925</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0.56999553506864231</v>
      </c>
      <c r="AH757" s="304">
        <f t="shared" ca="1" si="347"/>
        <v>-9.2154266534526101</v>
      </c>
    </row>
    <row r="758" spans="1:34" x14ac:dyDescent="0.2">
      <c r="A758" s="347">
        <f t="shared" ca="1" si="325"/>
        <v>1E-4</v>
      </c>
      <c r="B758" s="304">
        <f t="shared" ca="1" si="326"/>
        <v>37.02500000000105</v>
      </c>
      <c r="D758" s="306">
        <f t="shared" ca="1" si="327"/>
        <v>-0.65191687045821523</v>
      </c>
      <c r="E758" s="307">
        <f t="shared" ca="1" si="328"/>
        <v>-0.61764148184680145</v>
      </c>
      <c r="F758" s="304">
        <f t="shared" ca="1" si="329"/>
        <v>0.89804042564126596</v>
      </c>
      <c r="G758" s="306">
        <f t="shared" ca="1" si="330"/>
        <v>7.3996959857455806</v>
      </c>
      <c r="H758" s="307">
        <f t="shared" ca="1" si="331"/>
        <v>-104.34044743918327</v>
      </c>
      <c r="I758" s="304">
        <f t="shared" ca="1" si="332"/>
        <v>104.6025070086297</v>
      </c>
      <c r="J758" s="306">
        <f t="shared" ca="1" si="333"/>
        <v>839.7136314269211</v>
      </c>
      <c r="K758" s="307">
        <f t="shared" ca="1" si="334"/>
        <v>-3.1865811910392958</v>
      </c>
      <c r="L758" s="304">
        <f t="shared" ca="1" si="319"/>
        <v>839.71967769242747</v>
      </c>
      <c r="M758" s="306">
        <f t="shared" ca="1" si="335"/>
        <v>-1.4999960959294076</v>
      </c>
      <c r="N758" s="304">
        <f t="shared" ca="1" si="336"/>
        <v>-85.943445582855617</v>
      </c>
      <c r="P758" s="310">
        <f t="shared" ca="1" si="337"/>
        <v>23</v>
      </c>
      <c r="Q758" s="304">
        <f t="shared" ca="1" si="338"/>
        <v>0</v>
      </c>
      <c r="R758" s="306">
        <f t="shared" ca="1" si="339"/>
        <v>0</v>
      </c>
      <c r="S758" s="307">
        <f t="shared" ca="1" si="340"/>
        <v>2.9792999999999985</v>
      </c>
      <c r="T758" s="304">
        <f t="shared" ca="1" si="320"/>
        <v>29.226932999999988</v>
      </c>
      <c r="U758" s="311">
        <f t="shared" ca="1" si="321"/>
        <v>0</v>
      </c>
      <c r="V758" s="306">
        <f t="shared" ca="1" si="322"/>
        <v>1.225390418400899</v>
      </c>
      <c r="W758" s="304">
        <f t="shared" ca="1" si="323"/>
        <v>27.455637766106282</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0.56997633678380488</v>
      </c>
      <c r="AH758" s="304">
        <f t="shared" ca="1" si="347"/>
        <v>-9.2154463121571979</v>
      </c>
    </row>
    <row r="759" spans="1:34" x14ac:dyDescent="0.2">
      <c r="A759" s="347">
        <f t="shared" ca="1" si="325"/>
        <v>1E-4</v>
      </c>
      <c r="B759" s="304">
        <f t="shared" ca="1" si="326"/>
        <v>37.025100000001054</v>
      </c>
      <c r="D759" s="306">
        <f t="shared" ca="1" si="327"/>
        <v>-0.65191216252153461</v>
      </c>
      <c r="E759" s="307">
        <f t="shared" ca="1" si="328"/>
        <v>-0.61762144018152654</v>
      </c>
      <c r="F759" s="304">
        <f t="shared" ca="1" si="329"/>
        <v>0.89802322409579516</v>
      </c>
      <c r="G759" s="306">
        <f t="shared" ca="1" si="330"/>
        <v>7.3996307945293287</v>
      </c>
      <c r="H759" s="307">
        <f t="shared" ca="1" si="331"/>
        <v>-104.34050920132728</v>
      </c>
      <c r="I759" s="304">
        <f t="shared" ca="1" si="332"/>
        <v>104.60256400436658</v>
      </c>
      <c r="J759" s="306">
        <f t="shared" ca="1" si="333"/>
        <v>839.7136314269211</v>
      </c>
      <c r="K759" s="307">
        <f t="shared" ca="1" si="334"/>
        <v>-3.1970152388713213</v>
      </c>
      <c r="L759" s="304">
        <f t="shared" ca="1" si="319"/>
        <v>839.71971735253703</v>
      </c>
      <c r="M759" s="306">
        <f t="shared" ca="1" si="335"/>
        <v>-1.4999967593645327</v>
      </c>
      <c r="N759" s="304">
        <f t="shared" ca="1" si="336"/>
        <v>-85.943483594888264</v>
      </c>
      <c r="P759" s="310">
        <f t="shared" ca="1" si="337"/>
        <v>23</v>
      </c>
      <c r="Q759" s="304">
        <f t="shared" ca="1" si="338"/>
        <v>0</v>
      </c>
      <c r="R759" s="306">
        <f t="shared" ca="1" si="339"/>
        <v>0</v>
      </c>
      <c r="S759" s="307">
        <f t="shared" ca="1" si="340"/>
        <v>2.9792999999999985</v>
      </c>
      <c r="T759" s="304">
        <f t="shared" ca="1" si="320"/>
        <v>29.226932999999988</v>
      </c>
      <c r="U759" s="311">
        <f t="shared" ca="1" si="321"/>
        <v>0</v>
      </c>
      <c r="V759" s="306">
        <f t="shared" ca="1" si="322"/>
        <v>1.2253916969798226</v>
      </c>
      <c r="W759" s="304">
        <f t="shared" ca="1" si="323"/>
        <v>27.455696333520422</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0.56995713878622034</v>
      </c>
      <c r="AH759" s="304">
        <f t="shared" ca="1" si="347"/>
        <v>-9.2154659705656687</v>
      </c>
    </row>
    <row r="760" spans="1:34" x14ac:dyDescent="0.2">
      <c r="A760" s="347">
        <f t="shared" ca="1" si="325"/>
        <v>1E-4</v>
      </c>
      <c r="B760" s="304">
        <f t="shared" ca="1" si="326"/>
        <v>37.025200000001057</v>
      </c>
      <c r="D760" s="306">
        <f t="shared" ca="1" si="327"/>
        <v>-0.65190745459797483</v>
      </c>
      <c r="E760" s="307">
        <f t="shared" ca="1" si="328"/>
        <v>-0.61760139881811149</v>
      </c>
      <c r="F760" s="304">
        <f t="shared" ca="1" si="329"/>
        <v>0.89800602290992382</v>
      </c>
      <c r="G760" s="306">
        <f t="shared" ca="1" si="330"/>
        <v>7.3995656037838691</v>
      </c>
      <c r="H760" s="307">
        <f t="shared" ca="1" si="331"/>
        <v>-104.34057096146717</v>
      </c>
      <c r="I760" s="304">
        <f t="shared" ca="1" si="332"/>
        <v>104.60262099818372</v>
      </c>
      <c r="J760" s="306">
        <f t="shared" ca="1" si="333"/>
        <v>839.7136314269211</v>
      </c>
      <c r="K760" s="307">
        <f t="shared" ca="1" si="334"/>
        <v>-3.2074492928794611</v>
      </c>
      <c r="L760" s="304">
        <f t="shared" ca="1" si="319"/>
        <v>839.71975714231792</v>
      </c>
      <c r="M760" s="306">
        <f t="shared" ca="1" si="335"/>
        <v>-1.4999974227930899</v>
      </c>
      <c r="N760" s="304">
        <f t="shared" ca="1" si="336"/>
        <v>-85.943521606544607</v>
      </c>
      <c r="P760" s="310">
        <f t="shared" ca="1" si="337"/>
        <v>23</v>
      </c>
      <c r="Q760" s="304">
        <f t="shared" ca="1" si="338"/>
        <v>0</v>
      </c>
      <c r="R760" s="306">
        <f t="shared" ca="1" si="339"/>
        <v>0</v>
      </c>
      <c r="S760" s="307">
        <f t="shared" ca="1" si="340"/>
        <v>2.9792999999999985</v>
      </c>
      <c r="T760" s="304">
        <f t="shared" ca="1" si="320"/>
        <v>29.226932999999988</v>
      </c>
      <c r="U760" s="311">
        <f t="shared" ca="1" si="321"/>
        <v>0</v>
      </c>
      <c r="V760" s="306">
        <f t="shared" ca="1" si="322"/>
        <v>1.2253929755608373</v>
      </c>
      <c r="W760" s="304">
        <f t="shared" ca="1" si="323"/>
        <v>27.455754900052373</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0.56993794107588513</v>
      </c>
      <c r="AH760" s="304">
        <f t="shared" ca="1" si="347"/>
        <v>-9.2154856286780227</v>
      </c>
    </row>
    <row r="761" spans="1:34" x14ac:dyDescent="0.2">
      <c r="A761" s="347">
        <f t="shared" ca="1" si="325"/>
        <v>1E-4</v>
      </c>
      <c r="B761" s="304">
        <f t="shared" ca="1" si="326"/>
        <v>37.02530000000106</v>
      </c>
      <c r="D761" s="306">
        <f t="shared" ca="1" si="327"/>
        <v>-0.65190274668753789</v>
      </c>
      <c r="E761" s="307">
        <f t="shared" ca="1" si="328"/>
        <v>-0.61758135775653855</v>
      </c>
      <c r="F761" s="304">
        <f t="shared" ca="1" si="329"/>
        <v>0.89798882208364139</v>
      </c>
      <c r="G761" s="306">
        <f t="shared" ca="1" si="330"/>
        <v>7.3995004135092</v>
      </c>
      <c r="H761" s="307">
        <f t="shared" ca="1" si="331"/>
        <v>-104.34063271960294</v>
      </c>
      <c r="I761" s="304">
        <f t="shared" ca="1" si="332"/>
        <v>104.60267799008111</v>
      </c>
      <c r="J761" s="306">
        <f t="shared" ca="1" si="333"/>
        <v>839.7136314269211</v>
      </c>
      <c r="K761" s="307">
        <f t="shared" ca="1" si="334"/>
        <v>-3.2178833530635145</v>
      </c>
      <c r="L761" s="304">
        <f t="shared" ca="1" si="319"/>
        <v>839.71979706177046</v>
      </c>
      <c r="M761" s="306">
        <f t="shared" ca="1" si="335"/>
        <v>-1.4999980862150795</v>
      </c>
      <c r="N761" s="304">
        <f t="shared" ca="1" si="336"/>
        <v>-85.943559617824647</v>
      </c>
      <c r="P761" s="310">
        <f t="shared" ca="1" si="337"/>
        <v>23</v>
      </c>
      <c r="Q761" s="304">
        <f t="shared" ca="1" si="338"/>
        <v>0</v>
      </c>
      <c r="R761" s="306">
        <f t="shared" ca="1" si="339"/>
        <v>0</v>
      </c>
      <c r="S761" s="307">
        <f t="shared" ca="1" si="340"/>
        <v>2.9792999999999985</v>
      </c>
      <c r="T761" s="304">
        <f t="shared" ca="1" si="320"/>
        <v>29.226932999999988</v>
      </c>
      <c r="U761" s="311">
        <f t="shared" ca="1" si="321"/>
        <v>0</v>
      </c>
      <c r="V761" s="306">
        <f t="shared" ca="1" si="322"/>
        <v>1.2253942541439427</v>
      </c>
      <c r="W761" s="304">
        <f t="shared" ca="1" si="323"/>
        <v>27.455813465702121</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0.56991874365279394</v>
      </c>
      <c r="AH761" s="304">
        <f t="shared" ca="1" si="347"/>
        <v>-9.2155052864942721</v>
      </c>
    </row>
    <row r="762" spans="1:34" x14ac:dyDescent="0.2">
      <c r="A762" s="347">
        <f t="shared" ca="1" si="325"/>
        <v>1E-4</v>
      </c>
      <c r="B762" s="304">
        <f t="shared" ca="1" si="326"/>
        <v>37.025400000001063</v>
      </c>
      <c r="D762" s="306">
        <f t="shared" ca="1" si="327"/>
        <v>-0.65189803879022235</v>
      </c>
      <c r="E762" s="307">
        <f t="shared" ca="1" si="328"/>
        <v>-0.6175613169968166</v>
      </c>
      <c r="F762" s="304">
        <f t="shared" ca="1" si="329"/>
        <v>0.89797162161695332</v>
      </c>
      <c r="G762" s="306">
        <f t="shared" ca="1" si="330"/>
        <v>7.3994352237053214</v>
      </c>
      <c r="H762" s="307">
        <f t="shared" ca="1" si="331"/>
        <v>-104.34069447573464</v>
      </c>
      <c r="I762" s="304">
        <f t="shared" ca="1" si="332"/>
        <v>104.60273498005877</v>
      </c>
      <c r="J762" s="306">
        <f t="shared" ca="1" si="333"/>
        <v>839.7136314269211</v>
      </c>
      <c r="K762" s="307">
        <f t="shared" ca="1" si="334"/>
        <v>-3.2283174194232815</v>
      </c>
      <c r="L762" s="304">
        <f t="shared" ca="1" si="319"/>
        <v>839.71983711089479</v>
      </c>
      <c r="M762" s="306">
        <f t="shared" ca="1" si="335"/>
        <v>-1.4999987496305014</v>
      </c>
      <c r="N762" s="304">
        <f t="shared" ca="1" si="336"/>
        <v>-85.943597628728384</v>
      </c>
      <c r="P762" s="310">
        <f t="shared" ca="1" si="337"/>
        <v>23</v>
      </c>
      <c r="Q762" s="304">
        <f t="shared" ca="1" si="338"/>
        <v>0</v>
      </c>
      <c r="R762" s="306">
        <f t="shared" ca="1" si="339"/>
        <v>0</v>
      </c>
      <c r="S762" s="307">
        <f t="shared" ca="1" si="340"/>
        <v>2.9792999999999985</v>
      </c>
      <c r="T762" s="304">
        <f t="shared" ca="1" si="320"/>
        <v>29.226932999999988</v>
      </c>
      <c r="U762" s="311">
        <f t="shared" ca="1" si="321"/>
        <v>0</v>
      </c>
      <c r="V762" s="306">
        <f t="shared" ca="1" si="322"/>
        <v>1.2253955327291395</v>
      </c>
      <c r="W762" s="304">
        <f t="shared" ca="1" si="323"/>
        <v>27.455872030469706</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0.56989954651694497</v>
      </c>
      <c r="AH762" s="304">
        <f t="shared" ca="1" si="347"/>
        <v>-9.2155249440144118</v>
      </c>
    </row>
    <row r="763" spans="1:34" x14ac:dyDescent="0.2">
      <c r="A763" s="347">
        <f t="shared" ca="1" si="325"/>
        <v>1E-4</v>
      </c>
      <c r="B763" s="304">
        <f t="shared" ca="1" si="326"/>
        <v>37.025500000001067</v>
      </c>
      <c r="D763" s="306">
        <f t="shared" ca="1" si="327"/>
        <v>-0.65189333090602974</v>
      </c>
      <c r="E763" s="307">
        <f t="shared" ca="1" si="328"/>
        <v>-0.61754127653893498</v>
      </c>
      <c r="F763" s="304">
        <f t="shared" ca="1" si="329"/>
        <v>0.89795442150985361</v>
      </c>
      <c r="G763" s="306">
        <f t="shared" ca="1" si="330"/>
        <v>7.3993700343722306</v>
      </c>
      <c r="H763" s="307">
        <f t="shared" ca="1" si="331"/>
        <v>-104.34075622986229</v>
      </c>
      <c r="I763" s="304">
        <f t="shared" ca="1" si="332"/>
        <v>104.60279196811676</v>
      </c>
      <c r="J763" s="306">
        <f t="shared" ca="1" si="333"/>
        <v>839.7136314269211</v>
      </c>
      <c r="K763" s="307">
        <f t="shared" ca="1" si="334"/>
        <v>-3.2387514919585616</v>
      </c>
      <c r="L763" s="304">
        <f t="shared" ca="1" si="319"/>
        <v>839.719877289691</v>
      </c>
      <c r="M763" s="306">
        <f t="shared" ca="1" si="335"/>
        <v>-1.4999994130393557</v>
      </c>
      <c r="N763" s="304">
        <f t="shared" ca="1" si="336"/>
        <v>-85.943635639255831</v>
      </c>
      <c r="P763" s="310">
        <f t="shared" ca="1" si="337"/>
        <v>23</v>
      </c>
      <c r="Q763" s="304">
        <f t="shared" ca="1" si="338"/>
        <v>0</v>
      </c>
      <c r="R763" s="306">
        <f t="shared" ca="1" si="339"/>
        <v>0</v>
      </c>
      <c r="S763" s="307">
        <f t="shared" ca="1" si="340"/>
        <v>2.9792999999999985</v>
      </c>
      <c r="T763" s="304">
        <f t="shared" ca="1" si="320"/>
        <v>29.226932999999988</v>
      </c>
      <c r="U763" s="311">
        <f t="shared" ca="1" si="321"/>
        <v>0</v>
      </c>
      <c r="V763" s="306">
        <f t="shared" ca="1" si="322"/>
        <v>1.2253968113164271</v>
      </c>
      <c r="W763" s="304">
        <f t="shared" ca="1" si="323"/>
        <v>27.455930594355117</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0.56988034966833112</v>
      </c>
      <c r="AH763" s="304">
        <f t="shared" ca="1" si="347"/>
        <v>-9.2155446012384523</v>
      </c>
    </row>
    <row r="764" spans="1:34" x14ac:dyDescent="0.2">
      <c r="A764" s="347">
        <f t="shared" ca="1" si="325"/>
        <v>1E-4</v>
      </c>
      <c r="B764" s="304">
        <f t="shared" ca="1" si="326"/>
        <v>37.02560000000107</v>
      </c>
      <c r="D764" s="306">
        <f t="shared" ca="1" si="327"/>
        <v>-0.6518886230349612</v>
      </c>
      <c r="E764" s="307">
        <f t="shared" ca="1" si="328"/>
        <v>-0.61752123638289547</v>
      </c>
      <c r="F764" s="304">
        <f t="shared" ca="1" si="329"/>
        <v>0.89793722176234436</v>
      </c>
      <c r="G764" s="306">
        <f t="shared" ca="1" si="330"/>
        <v>7.3993048455099268</v>
      </c>
      <c r="H764" s="307">
        <f t="shared" ca="1" si="331"/>
        <v>-104.34081798198594</v>
      </c>
      <c r="I764" s="304">
        <f t="shared" ca="1" si="332"/>
        <v>104.60284895425509</v>
      </c>
      <c r="J764" s="306">
        <f t="shared" ca="1" si="333"/>
        <v>839.7136314269211</v>
      </c>
      <c r="K764" s="307">
        <f t="shared" ca="1" si="334"/>
        <v>-3.2491855706691539</v>
      </c>
      <c r="L764" s="304">
        <f t="shared" ca="1" si="319"/>
        <v>839.71991759815944</v>
      </c>
      <c r="M764" s="306">
        <f t="shared" ca="1" si="335"/>
        <v>-1.5000000764416426</v>
      </c>
      <c r="N764" s="304">
        <f t="shared" ca="1" si="336"/>
        <v>-85.943673649406989</v>
      </c>
      <c r="P764" s="310">
        <f t="shared" ca="1" si="337"/>
        <v>23</v>
      </c>
      <c r="Q764" s="304">
        <f t="shared" ca="1" si="338"/>
        <v>0</v>
      </c>
      <c r="R764" s="306">
        <f t="shared" ca="1" si="339"/>
        <v>0</v>
      </c>
      <c r="S764" s="307">
        <f t="shared" ca="1" si="340"/>
        <v>2.9792999999999985</v>
      </c>
      <c r="T764" s="304">
        <f t="shared" ca="1" si="320"/>
        <v>29.226932999999988</v>
      </c>
      <c r="U764" s="311">
        <f t="shared" ca="1" si="321"/>
        <v>0</v>
      </c>
      <c r="V764" s="306">
        <f t="shared" ca="1" si="322"/>
        <v>1.2253980899058059</v>
      </c>
      <c r="W764" s="304">
        <f t="shared" ca="1" si="323"/>
        <v>27.455989157358378</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0.56986115310695418</v>
      </c>
      <c r="AH764" s="304">
        <f t="shared" ca="1" si="347"/>
        <v>-9.2155642581663919</v>
      </c>
    </row>
    <row r="765" spans="1:34" x14ac:dyDescent="0.2">
      <c r="A765" s="347">
        <f t="shared" ca="1" si="325"/>
        <v>1E-4</v>
      </c>
      <c r="B765" s="304">
        <f t="shared" ca="1" si="326"/>
        <v>37.025700000001073</v>
      </c>
      <c r="D765" s="306">
        <f t="shared" ca="1" si="327"/>
        <v>-0.65188391517701605</v>
      </c>
      <c r="E765" s="307">
        <f t="shared" ca="1" si="328"/>
        <v>-0.61750119652868918</v>
      </c>
      <c r="F765" s="304">
        <f t="shared" ca="1" si="329"/>
        <v>0.89792002237441937</v>
      </c>
      <c r="G765" s="306">
        <f t="shared" ca="1" si="330"/>
        <v>7.3992396571184091</v>
      </c>
      <c r="H765" s="307">
        <f t="shared" ca="1" si="331"/>
        <v>-104.34087973210559</v>
      </c>
      <c r="I765" s="304">
        <f t="shared" ca="1" si="332"/>
        <v>104.6029059384738</v>
      </c>
      <c r="J765" s="306">
        <f t="shared" ca="1" si="333"/>
        <v>839.7136314269211</v>
      </c>
      <c r="K765" s="307">
        <f t="shared" ca="1" si="334"/>
        <v>-3.2596196555548587</v>
      </c>
      <c r="L765" s="304">
        <f t="shared" ca="1" si="319"/>
        <v>839.71995803630034</v>
      </c>
      <c r="M765" s="306">
        <f t="shared" ca="1" si="335"/>
        <v>-1.5000007398373618</v>
      </c>
      <c r="N765" s="304">
        <f t="shared" ca="1" si="336"/>
        <v>-85.943711659181844</v>
      </c>
      <c r="P765" s="310">
        <f t="shared" ca="1" si="337"/>
        <v>23</v>
      </c>
      <c r="Q765" s="304">
        <f t="shared" ca="1" si="338"/>
        <v>0</v>
      </c>
      <c r="R765" s="306">
        <f t="shared" ca="1" si="339"/>
        <v>0</v>
      </c>
      <c r="S765" s="307">
        <f t="shared" ca="1" si="340"/>
        <v>2.9792999999999985</v>
      </c>
      <c r="T765" s="304">
        <f t="shared" ca="1" si="320"/>
        <v>29.226932999999988</v>
      </c>
      <c r="U765" s="311">
        <f t="shared" ca="1" si="321"/>
        <v>0</v>
      </c>
      <c r="V765" s="306">
        <f t="shared" ca="1" si="322"/>
        <v>1.2253993684972755</v>
      </c>
      <c r="W765" s="304">
        <f t="shared" ca="1" si="323"/>
        <v>27.456047719479479</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0.56984195683280703</v>
      </c>
      <c r="AH765" s="304">
        <f t="shared" ca="1" si="347"/>
        <v>-9.2155839147982377</v>
      </c>
    </row>
    <row r="766" spans="1:34" x14ac:dyDescent="0.2">
      <c r="A766" s="347">
        <f t="shared" ca="1" si="325"/>
        <v>1E-4</v>
      </c>
      <c r="B766" s="304">
        <f t="shared" ca="1" si="326"/>
        <v>37.025800000001077</v>
      </c>
      <c r="D766" s="306">
        <f t="shared" ca="1" si="327"/>
        <v>-0.65187920733219717</v>
      </c>
      <c r="E766" s="307">
        <f t="shared" ca="1" si="328"/>
        <v>-0.61748115697631789</v>
      </c>
      <c r="F766" s="304">
        <f t="shared" ca="1" si="329"/>
        <v>0.89790282334608229</v>
      </c>
      <c r="G766" s="306">
        <f t="shared" ca="1" si="330"/>
        <v>7.3991744691976757</v>
      </c>
      <c r="H766" s="307">
        <f t="shared" ca="1" si="331"/>
        <v>-104.34094148022129</v>
      </c>
      <c r="I766" s="304">
        <f t="shared" ca="1" si="332"/>
        <v>104.60296292077291</v>
      </c>
      <c r="J766" s="306">
        <f t="shared" ca="1" si="333"/>
        <v>839.7136314269211</v>
      </c>
      <c r="K766" s="307">
        <f t="shared" ca="1" si="334"/>
        <v>-3.2700537466154751</v>
      </c>
      <c r="L766" s="304">
        <f t="shared" ca="1" si="319"/>
        <v>839.71999860411381</v>
      </c>
      <c r="M766" s="306">
        <f t="shared" ca="1" si="335"/>
        <v>-1.5000014032265139</v>
      </c>
      <c r="N766" s="304">
        <f t="shared" ca="1" si="336"/>
        <v>-85.943749668580423</v>
      </c>
      <c r="P766" s="310">
        <f t="shared" ca="1" si="337"/>
        <v>23</v>
      </c>
      <c r="Q766" s="304">
        <f t="shared" ca="1" si="338"/>
        <v>0</v>
      </c>
      <c r="R766" s="306">
        <f t="shared" ca="1" si="339"/>
        <v>0</v>
      </c>
      <c r="S766" s="307">
        <f t="shared" ca="1" si="340"/>
        <v>2.9792999999999985</v>
      </c>
      <c r="T766" s="304">
        <f t="shared" ca="1" si="320"/>
        <v>29.226932999999988</v>
      </c>
      <c r="U766" s="311">
        <f t="shared" ca="1" si="321"/>
        <v>0</v>
      </c>
      <c r="V766" s="306">
        <f t="shared" ca="1" si="322"/>
        <v>1.2254006470908365</v>
      </c>
      <c r="W766" s="304">
        <f t="shared" ca="1" si="323"/>
        <v>27.456106280718462</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0.56982276084589145</v>
      </c>
      <c r="AH766" s="304">
        <f t="shared" ca="1" si="347"/>
        <v>-9.2156035711339879</v>
      </c>
    </row>
    <row r="767" spans="1:34" x14ac:dyDescent="0.2">
      <c r="A767" s="347">
        <f t="shared" ca="1" si="325"/>
        <v>1E-4</v>
      </c>
      <c r="B767" s="304">
        <f t="shared" ca="1" si="326"/>
        <v>37.02590000000108</v>
      </c>
      <c r="D767" s="306">
        <f t="shared" ca="1" si="327"/>
        <v>-0.65187449950050236</v>
      </c>
      <c r="E767" s="307">
        <f t="shared" ca="1" si="328"/>
        <v>-0.61746111772576917</v>
      </c>
      <c r="F767" s="304">
        <f t="shared" ca="1" si="329"/>
        <v>0.89788562467732302</v>
      </c>
      <c r="G767" s="306">
        <f t="shared" ca="1" si="330"/>
        <v>7.3991092817477258</v>
      </c>
      <c r="H767" s="307">
        <f t="shared" ca="1" si="331"/>
        <v>-104.34100322633306</v>
      </c>
      <c r="I767" s="304">
        <f t="shared" ca="1" si="332"/>
        <v>104.60301990115242</v>
      </c>
      <c r="J767" s="306">
        <f t="shared" ca="1" si="333"/>
        <v>839.7136314269211</v>
      </c>
      <c r="K767" s="307">
        <f t="shared" ca="1" si="334"/>
        <v>-3.2804878438508029</v>
      </c>
      <c r="L767" s="304">
        <f t="shared" ca="1" si="319"/>
        <v>839.72003930160008</v>
      </c>
      <c r="M767" s="306">
        <f t="shared" ca="1" si="335"/>
        <v>-1.5000020666090987</v>
      </c>
      <c r="N767" s="304">
        <f t="shared" ca="1" si="336"/>
        <v>-85.943787677602742</v>
      </c>
      <c r="P767" s="310">
        <f t="shared" ca="1" si="337"/>
        <v>23</v>
      </c>
      <c r="Q767" s="304">
        <f t="shared" ca="1" si="338"/>
        <v>0</v>
      </c>
      <c r="R767" s="306">
        <f t="shared" ca="1" si="339"/>
        <v>0</v>
      </c>
      <c r="S767" s="307">
        <f t="shared" ca="1" si="340"/>
        <v>2.9792999999999985</v>
      </c>
      <c r="T767" s="304">
        <f t="shared" ca="1" si="320"/>
        <v>29.226932999999988</v>
      </c>
      <c r="U767" s="311">
        <f t="shared" ca="1" si="321"/>
        <v>0</v>
      </c>
      <c r="V767" s="306">
        <f t="shared" ca="1" si="322"/>
        <v>1.2254019256864883</v>
      </c>
      <c r="W767" s="304">
        <f t="shared" ca="1" si="323"/>
        <v>27.456164841075292</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0.56980356514619324</v>
      </c>
      <c r="AH767" s="304">
        <f t="shared" ca="1" si="347"/>
        <v>-9.2156232271736567</v>
      </c>
    </row>
    <row r="768" spans="1:34" x14ac:dyDescent="0.2">
      <c r="A768" s="347">
        <f t="shared" ca="1" si="325"/>
        <v>1E-4</v>
      </c>
      <c r="B768" s="304">
        <f t="shared" ca="1" si="326"/>
        <v>37.026000000001083</v>
      </c>
      <c r="D768" s="306">
        <f t="shared" ca="1" si="327"/>
        <v>-0.65186979168193204</v>
      </c>
      <c r="E768" s="307">
        <f t="shared" ca="1" si="328"/>
        <v>-0.61744107877705368</v>
      </c>
      <c r="F768" s="304">
        <f t="shared" ca="1" si="329"/>
        <v>0.89786842636814956</v>
      </c>
      <c r="G768" s="306">
        <f t="shared" ca="1" si="330"/>
        <v>7.3990440947685574</v>
      </c>
      <c r="H768" s="307">
        <f t="shared" ca="1" si="331"/>
        <v>-104.34106497044094</v>
      </c>
      <c r="I768" s="304">
        <f t="shared" ca="1" si="332"/>
        <v>104.60307687961242</v>
      </c>
      <c r="J768" s="306">
        <f t="shared" ca="1" si="333"/>
        <v>839.7136314269211</v>
      </c>
      <c r="K768" s="307">
        <f t="shared" ca="1" si="334"/>
        <v>-3.2909219472606415</v>
      </c>
      <c r="L768" s="304">
        <f t="shared" ca="1" si="319"/>
        <v>839.72008012875938</v>
      </c>
      <c r="M768" s="306">
        <f t="shared" ca="1" si="335"/>
        <v>-1.5000027299851164</v>
      </c>
      <c r="N768" s="304">
        <f t="shared" ca="1" si="336"/>
        <v>-85.943825686248786</v>
      </c>
      <c r="P768" s="310">
        <f t="shared" ca="1" si="337"/>
        <v>23</v>
      </c>
      <c r="Q768" s="304">
        <f t="shared" ca="1" si="338"/>
        <v>0</v>
      </c>
      <c r="R768" s="306">
        <f t="shared" ca="1" si="339"/>
        <v>0</v>
      </c>
      <c r="S768" s="307">
        <f t="shared" ca="1" si="340"/>
        <v>2.9792999999999985</v>
      </c>
      <c r="T768" s="304">
        <f t="shared" ca="1" si="320"/>
        <v>29.226932999999988</v>
      </c>
      <c r="U768" s="311">
        <f t="shared" ca="1" si="321"/>
        <v>0</v>
      </c>
      <c r="V768" s="306">
        <f t="shared" ca="1" si="322"/>
        <v>1.2254032042842309</v>
      </c>
      <c r="W768" s="304">
        <f t="shared" ca="1" si="323"/>
        <v>27.456223400550019</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0.56978436973372482</v>
      </c>
      <c r="AH768" s="304">
        <f t="shared" ca="1" si="347"/>
        <v>-9.2156428829172317</v>
      </c>
    </row>
    <row r="769" spans="1:34" x14ac:dyDescent="0.2">
      <c r="A769" s="347">
        <f t="shared" ca="1" si="325"/>
        <v>1E-4</v>
      </c>
      <c r="B769" s="304">
        <f t="shared" ca="1" si="326"/>
        <v>37.026100000001087</v>
      </c>
      <c r="D769" s="306">
        <f t="shared" ca="1" si="327"/>
        <v>-0.65186508387648789</v>
      </c>
      <c r="E769" s="307">
        <f t="shared" ca="1" si="328"/>
        <v>-0.61742104013015897</v>
      </c>
      <c r="F769" s="304">
        <f t="shared" ca="1" si="329"/>
        <v>0.8978512284185548</v>
      </c>
      <c r="G769" s="306">
        <f t="shared" ca="1" si="330"/>
        <v>7.3989789082601698</v>
      </c>
      <c r="H769" s="307">
        <f t="shared" ca="1" si="331"/>
        <v>-104.34112671254495</v>
      </c>
      <c r="I769" s="304">
        <f t="shared" ca="1" si="332"/>
        <v>104.60313385615289</v>
      </c>
      <c r="J769" s="306">
        <f t="shared" ca="1" si="333"/>
        <v>839.7136314269211</v>
      </c>
      <c r="K769" s="307">
        <f t="shared" ca="1" si="334"/>
        <v>-3.3013560568447908</v>
      </c>
      <c r="L769" s="304">
        <f t="shared" ca="1" si="319"/>
        <v>839.72012108559193</v>
      </c>
      <c r="M769" s="306">
        <f t="shared" ca="1" si="335"/>
        <v>-1.5000033933545669</v>
      </c>
      <c r="N769" s="304">
        <f t="shared" ca="1" si="336"/>
        <v>-85.943863694518555</v>
      </c>
      <c r="P769" s="310">
        <f t="shared" ca="1" si="337"/>
        <v>23</v>
      </c>
      <c r="Q769" s="304">
        <f t="shared" ca="1" si="338"/>
        <v>0</v>
      </c>
      <c r="R769" s="306">
        <f t="shared" ca="1" si="339"/>
        <v>0</v>
      </c>
      <c r="S769" s="307">
        <f t="shared" ca="1" si="340"/>
        <v>2.9792999999999985</v>
      </c>
      <c r="T769" s="304">
        <f t="shared" ca="1" si="320"/>
        <v>29.226932999999988</v>
      </c>
      <c r="U769" s="311">
        <f t="shared" ca="1" si="321"/>
        <v>0</v>
      </c>
      <c r="V769" s="306">
        <f t="shared" ca="1" si="322"/>
        <v>1.2254044828840642</v>
      </c>
      <c r="W769" s="304">
        <f t="shared" ca="1" si="323"/>
        <v>27.456281959142633</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0.56976517460847376</v>
      </c>
      <c r="AH769" s="304">
        <f t="shared" ca="1" si="347"/>
        <v>-9.215662538364727</v>
      </c>
    </row>
    <row r="770" spans="1:34" x14ac:dyDescent="0.2">
      <c r="A770" s="347">
        <f t="shared" ca="1" si="325"/>
        <v>1E-4</v>
      </c>
      <c r="B770" s="304">
        <f t="shared" ca="1" si="326"/>
        <v>37.02620000000109</v>
      </c>
      <c r="D770" s="306">
        <f t="shared" ca="1" si="327"/>
        <v>-0.65186037608417102</v>
      </c>
      <c r="E770" s="307">
        <f t="shared" ca="1" si="328"/>
        <v>-0.61740100178508328</v>
      </c>
      <c r="F770" s="304">
        <f t="shared" ca="1" si="329"/>
        <v>0.89783403082853863</v>
      </c>
      <c r="G770" s="306">
        <f t="shared" ca="1" si="330"/>
        <v>7.3989137222225612</v>
      </c>
      <c r="H770" s="307">
        <f t="shared" ca="1" si="331"/>
        <v>-104.34118845264513</v>
      </c>
      <c r="I770" s="304">
        <f t="shared" ca="1" si="332"/>
        <v>104.60319083077388</v>
      </c>
      <c r="J770" s="306">
        <f t="shared" ca="1" si="333"/>
        <v>839.7136314269211</v>
      </c>
      <c r="K770" s="307">
        <f t="shared" ca="1" si="334"/>
        <v>-3.3117901726030503</v>
      </c>
      <c r="L770" s="304">
        <f t="shared" ca="1" si="319"/>
        <v>839.72016217209796</v>
      </c>
      <c r="M770" s="306">
        <f t="shared" ca="1" si="335"/>
        <v>-1.5000040567174504</v>
      </c>
      <c r="N770" s="304">
        <f t="shared" ca="1" si="336"/>
        <v>-85.943901702412063</v>
      </c>
      <c r="P770" s="310">
        <f t="shared" ca="1" si="337"/>
        <v>23</v>
      </c>
      <c r="Q770" s="304">
        <f t="shared" ca="1" si="338"/>
        <v>0</v>
      </c>
      <c r="R770" s="306">
        <f t="shared" ca="1" si="339"/>
        <v>0</v>
      </c>
      <c r="S770" s="307">
        <f t="shared" ca="1" si="340"/>
        <v>2.9792999999999985</v>
      </c>
      <c r="T770" s="304">
        <f t="shared" ca="1" si="320"/>
        <v>29.226932999999988</v>
      </c>
      <c r="U770" s="311">
        <f t="shared" ca="1" si="321"/>
        <v>0</v>
      </c>
      <c r="V770" s="306">
        <f t="shared" ca="1" si="322"/>
        <v>1.225405761485989</v>
      </c>
      <c r="W770" s="304">
        <f t="shared" ca="1" si="323"/>
        <v>27.456340516853157</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0.56974597977044006</v>
      </c>
      <c r="AH770" s="304">
        <f t="shared" ca="1" si="347"/>
        <v>-9.2156821935161428</v>
      </c>
    </row>
    <row r="771" spans="1:34" x14ac:dyDescent="0.2">
      <c r="A771" s="347">
        <f t="shared" ca="1" si="325"/>
        <v>1E-4</v>
      </c>
      <c r="B771" s="304">
        <f t="shared" ca="1" si="326"/>
        <v>37.026300000001093</v>
      </c>
      <c r="D771" s="306">
        <f t="shared" ca="1" si="327"/>
        <v>-0.65185566830498087</v>
      </c>
      <c r="E771" s="307">
        <f t="shared" ca="1" si="328"/>
        <v>-0.6173809637418195</v>
      </c>
      <c r="F771" s="304">
        <f t="shared" ca="1" si="329"/>
        <v>0.89781683359809594</v>
      </c>
      <c r="G771" s="306">
        <f t="shared" ca="1" si="330"/>
        <v>7.3988485366557306</v>
      </c>
      <c r="H771" s="307">
        <f t="shared" ca="1" si="331"/>
        <v>-104.3412501907415</v>
      </c>
      <c r="I771" s="304">
        <f t="shared" ca="1" si="332"/>
        <v>104.60324780347543</v>
      </c>
      <c r="J771" s="306">
        <f t="shared" ca="1" si="333"/>
        <v>839.7136314269211</v>
      </c>
      <c r="K771" s="307">
        <f t="shared" ca="1" si="334"/>
        <v>-3.3222242945352196</v>
      </c>
      <c r="L771" s="304">
        <f t="shared" ca="1" si="319"/>
        <v>839.72020338827758</v>
      </c>
      <c r="M771" s="306">
        <f t="shared" ca="1" si="335"/>
        <v>-1.500004720073767</v>
      </c>
      <c r="N771" s="304">
        <f t="shared" ca="1" si="336"/>
        <v>-85.943939709929325</v>
      </c>
      <c r="P771" s="310">
        <f t="shared" ca="1" si="337"/>
        <v>23</v>
      </c>
      <c r="Q771" s="304">
        <f t="shared" ca="1" si="338"/>
        <v>0</v>
      </c>
      <c r="R771" s="306">
        <f t="shared" ca="1" si="339"/>
        <v>0</v>
      </c>
      <c r="S771" s="307">
        <f t="shared" ca="1" si="340"/>
        <v>2.9792999999999985</v>
      </c>
      <c r="T771" s="304">
        <f t="shared" ca="1" si="320"/>
        <v>29.226932999999988</v>
      </c>
      <c r="U771" s="311">
        <f t="shared" ca="1" si="321"/>
        <v>0</v>
      </c>
      <c r="V771" s="306">
        <f t="shared" ca="1" si="322"/>
        <v>1.2254070400900041</v>
      </c>
      <c r="W771" s="304">
        <f t="shared" ca="1" si="323"/>
        <v>27.456399073681585</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0.56972678521961306</v>
      </c>
      <c r="AH771" s="304">
        <f t="shared" ca="1" si="347"/>
        <v>-9.2157018483714861</v>
      </c>
    </row>
    <row r="772" spans="1:34" x14ac:dyDescent="0.2">
      <c r="A772" s="347">
        <f t="shared" ca="1" si="325"/>
        <v>1E-4</v>
      </c>
      <c r="B772" s="304">
        <f t="shared" ca="1" si="326"/>
        <v>37.026400000001097</v>
      </c>
      <c r="D772" s="306">
        <f t="shared" ca="1" si="327"/>
        <v>-0.65185096053891822</v>
      </c>
      <c r="E772" s="307">
        <f t="shared" ca="1" si="328"/>
        <v>-0.6173609260003694</v>
      </c>
      <c r="F772" s="304">
        <f t="shared" ca="1" si="329"/>
        <v>0.89779963672722873</v>
      </c>
      <c r="G772" s="306">
        <f t="shared" ca="1" si="330"/>
        <v>7.3987833515596764</v>
      </c>
      <c r="H772" s="307">
        <f t="shared" ca="1" si="331"/>
        <v>-104.34131192683411</v>
      </c>
      <c r="I772" s="304">
        <f t="shared" ca="1" si="332"/>
        <v>104.60330477425754</v>
      </c>
      <c r="J772" s="306">
        <f t="shared" ca="1" si="333"/>
        <v>839.7136314269211</v>
      </c>
      <c r="K772" s="307">
        <f t="shared" ca="1" si="334"/>
        <v>-3.3326584226410985</v>
      </c>
      <c r="L772" s="304">
        <f t="shared" ref="L772:L835" ca="1" si="348">SQRT(pos_x^2+pos_z^2)</f>
        <v>839.72024473413114</v>
      </c>
      <c r="M772" s="306">
        <f t="shared" ca="1" si="335"/>
        <v>-1.5000053834235167</v>
      </c>
      <c r="N772" s="304">
        <f t="shared" ca="1" si="336"/>
        <v>-85.943977717070325</v>
      </c>
      <c r="P772" s="310">
        <f t="shared" ca="1" si="337"/>
        <v>23</v>
      </c>
      <c r="Q772" s="304">
        <f t="shared" ca="1" si="338"/>
        <v>0</v>
      </c>
      <c r="R772" s="306">
        <f t="shared" ca="1" si="339"/>
        <v>0</v>
      </c>
      <c r="S772" s="307">
        <f t="shared" ca="1" si="340"/>
        <v>2.9792999999999985</v>
      </c>
      <c r="T772" s="304">
        <f t="shared" ref="T772:T835" ca="1" si="349">m*g</f>
        <v>29.226932999999988</v>
      </c>
      <c r="U772" s="311">
        <f t="shared" ref="U772:U835" ca="1" si="350">IF(pos_xz&lt;L_rampe,Poids*COS(Beta),0)</f>
        <v>0</v>
      </c>
      <c r="V772" s="306">
        <f t="shared" ref="V772:V835" ca="1" si="351">Rho_moyen*(20000-Alt_rampe-pos_z)/(20000+Alt_rampe+pos_z)</f>
        <v>1.2254083186961109</v>
      </c>
      <c r="W772" s="304">
        <f t="shared" ref="W772:W835" ca="1" si="352">1/2*Rho*Sref*Cx*vit_xz^2</f>
        <v>27.456457629627952</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0.56970759095599988</v>
      </c>
      <c r="AH772" s="304">
        <f t="shared" ca="1" si="347"/>
        <v>-9.2157215029307551</v>
      </c>
    </row>
    <row r="773" spans="1:34" x14ac:dyDescent="0.2">
      <c r="A773" s="347">
        <f t="shared" ref="A773:A836" ca="1" si="354">IF(B772+0.01&lt;=T_ini+ROUNDUP(Temps_fin_propu,0), 0.01, IF(K772&gt;0, 0.1, 0.0001))</f>
        <v>1E-4</v>
      </c>
      <c r="B773" s="304">
        <f t="shared" ref="B773:B836" ca="1" si="355">B772+pas</f>
        <v>37.0265000000011</v>
      </c>
      <c r="D773" s="306">
        <f t="shared" ref="D773:D836" ca="1" si="356">IF(AND(L772&lt;L_rampe,Poussee&lt;Poids*SIN(M772)),0,(-W772+Poussee)/m*COS(M772)-U772/m*SIN(M772))</f>
        <v>-0.65184625278598285</v>
      </c>
      <c r="E773" s="307">
        <f t="shared" ref="E773:E836" ca="1" si="357">IF(AND(L772&lt;L_rampe,Poussee&lt;Poids*SIN(M772)),0,(-W772+Poussee)/m*SIN(M772)+U772/m*COS(M772)-Poids/m)</f>
        <v>-0.61734088856072411</v>
      </c>
      <c r="F773" s="304">
        <f t="shared" ref="F773:F836" ca="1" si="358">SQRT(acc_x^2+acc_z^2)</f>
        <v>0.89778244021593101</v>
      </c>
      <c r="G773" s="306">
        <f t="shared" ref="G773:G836" ca="1" si="359">G772+acc_x*pas</f>
        <v>7.3987181669343975</v>
      </c>
      <c r="H773" s="307">
        <f t="shared" ref="H773:H836" ca="1" si="360">H772+acc_z*pas</f>
        <v>-104.34137366092297</v>
      </c>
      <c r="I773" s="304">
        <f t="shared" ref="I773:I836" ca="1" si="361">SQRT(vit_x^2+vit_z^2)</f>
        <v>104.60336174312026</v>
      </c>
      <c r="J773" s="306">
        <f t="shared" ref="J773:J836" ca="1" si="362">J772+0.5*(vit_x+G772)*pas*(K772&gt;=0)</f>
        <v>839.7136314269211</v>
      </c>
      <c r="K773" s="307">
        <f t="shared" ref="K773:K836" ca="1" si="363">K772+0.5*(vit_z+H772)*pas</f>
        <v>-3.3430925569204861</v>
      </c>
      <c r="L773" s="304">
        <f t="shared" ca="1" si="348"/>
        <v>839.72028620965875</v>
      </c>
      <c r="M773" s="306">
        <f t="shared" ref="M773:M836" ca="1" si="364">IF(AND(L772&gt;L_rampe,G773&gt;0),ATAN2(G773,H773),$M$4)</f>
        <v>-1.5000060467666996</v>
      </c>
      <c r="N773" s="304">
        <f t="shared" ref="N773:N836" ca="1" si="365">DEGREES(Beta)</f>
        <v>-85.944015723835065</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2.9792999999999985</v>
      </c>
      <c r="T773" s="304">
        <f t="shared" ca="1" si="349"/>
        <v>29.226932999999988</v>
      </c>
      <c r="U773" s="311">
        <f t="shared" ca="1" si="350"/>
        <v>0</v>
      </c>
      <c r="V773" s="306">
        <f t="shared" ca="1" si="351"/>
        <v>1.2254095973043078</v>
      </c>
      <c r="W773" s="304">
        <f t="shared" ca="1" si="352"/>
        <v>27.456516184692237</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0.56968839697958629</v>
      </c>
      <c r="AH773" s="304">
        <f t="shared" ref="AH773:AH836" ca="1" si="376">IF(AND(L772&lt;L_rampe,Poussee&lt;Poids*SIN(M772)), g*SIN(M772), (-W772+Poussee)/m)</f>
        <v>-9.2157411571939605</v>
      </c>
    </row>
    <row r="774" spans="1:34" x14ac:dyDescent="0.2">
      <c r="A774" s="347">
        <f t="shared" ca="1" si="354"/>
        <v>1E-4</v>
      </c>
      <c r="B774" s="304">
        <f t="shared" ca="1" si="355"/>
        <v>37.026600000001103</v>
      </c>
      <c r="D774" s="306">
        <f t="shared" ca="1" si="356"/>
        <v>-0.65184154504617742</v>
      </c>
      <c r="E774" s="307">
        <f t="shared" ca="1" si="357"/>
        <v>-0.61732085142288717</v>
      </c>
      <c r="F774" s="304">
        <f t="shared" ca="1" si="358"/>
        <v>0.89776524406420755</v>
      </c>
      <c r="G774" s="306">
        <f t="shared" ca="1" si="359"/>
        <v>7.3986529827798933</v>
      </c>
      <c r="H774" s="307">
        <f t="shared" ca="1" si="360"/>
        <v>-104.34143539300811</v>
      </c>
      <c r="I774" s="304">
        <f t="shared" ca="1" si="361"/>
        <v>104.60341871006359</v>
      </c>
      <c r="J774" s="306">
        <f t="shared" ca="1" si="362"/>
        <v>839.7136314269211</v>
      </c>
      <c r="K774" s="307">
        <f t="shared" ca="1" si="363"/>
        <v>-3.3535266973731828</v>
      </c>
      <c r="L774" s="304">
        <f t="shared" ca="1" si="348"/>
        <v>839.72032781486064</v>
      </c>
      <c r="M774" s="306">
        <f t="shared" ca="1" si="364"/>
        <v>-1.5000067101033159</v>
      </c>
      <c r="N774" s="304">
        <f t="shared" ca="1" si="365"/>
        <v>-85.944053730223587</v>
      </c>
      <c r="P774" s="310">
        <f t="shared" ca="1" si="366"/>
        <v>23</v>
      </c>
      <c r="Q774" s="304">
        <f t="shared" ca="1" si="367"/>
        <v>0</v>
      </c>
      <c r="R774" s="306">
        <f t="shared" ca="1" si="368"/>
        <v>0</v>
      </c>
      <c r="S774" s="307">
        <f t="shared" ca="1" si="369"/>
        <v>2.9792999999999985</v>
      </c>
      <c r="T774" s="304">
        <f t="shared" ca="1" si="349"/>
        <v>29.226932999999988</v>
      </c>
      <c r="U774" s="311">
        <f t="shared" ca="1" si="350"/>
        <v>0</v>
      </c>
      <c r="V774" s="306">
        <f t="shared" ca="1" si="351"/>
        <v>1.2254108759145959</v>
      </c>
      <c r="W774" s="304">
        <f t="shared" ca="1" si="352"/>
        <v>27.456574738874469</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0.56966920329038295</v>
      </c>
      <c r="AH774" s="304">
        <f t="shared" ca="1" si="376"/>
        <v>-9.2157608111610951</v>
      </c>
    </row>
    <row r="775" spans="1:34" x14ac:dyDescent="0.2">
      <c r="A775" s="347">
        <f t="shared" ca="1" si="354"/>
        <v>1E-4</v>
      </c>
      <c r="B775" s="304">
        <f t="shared" ca="1" si="355"/>
        <v>37.026700000001107</v>
      </c>
      <c r="D775" s="306">
        <f t="shared" ca="1" si="356"/>
        <v>-0.65183683731949926</v>
      </c>
      <c r="E775" s="307">
        <f t="shared" ca="1" si="357"/>
        <v>-0.61730081458685149</v>
      </c>
      <c r="F775" s="304">
        <f t="shared" ca="1" si="358"/>
        <v>0.89774804827205146</v>
      </c>
      <c r="G775" s="306">
        <f t="shared" ca="1" si="359"/>
        <v>7.3985877990961617</v>
      </c>
      <c r="H775" s="307">
        <f t="shared" ca="1" si="360"/>
        <v>-104.34149712308957</v>
      </c>
      <c r="I775" s="304">
        <f t="shared" ca="1" si="361"/>
        <v>104.60347567508759</v>
      </c>
      <c r="J775" s="306">
        <f t="shared" ca="1" si="362"/>
        <v>839.7136314269211</v>
      </c>
      <c r="K775" s="307">
        <f t="shared" ca="1" si="363"/>
        <v>-3.3639608439989876</v>
      </c>
      <c r="L775" s="304">
        <f t="shared" ca="1" si="348"/>
        <v>839.72036954973714</v>
      </c>
      <c r="M775" s="306">
        <f t="shared" ca="1" si="364"/>
        <v>-1.5000073734333654</v>
      </c>
      <c r="N775" s="304">
        <f t="shared" ca="1" si="365"/>
        <v>-85.944091736235848</v>
      </c>
      <c r="P775" s="310">
        <f t="shared" ca="1" si="366"/>
        <v>23</v>
      </c>
      <c r="Q775" s="304">
        <f t="shared" ca="1" si="367"/>
        <v>0</v>
      </c>
      <c r="R775" s="306">
        <f t="shared" ca="1" si="368"/>
        <v>0</v>
      </c>
      <c r="S775" s="307">
        <f t="shared" ca="1" si="369"/>
        <v>2.9792999999999985</v>
      </c>
      <c r="T775" s="304">
        <f t="shared" ca="1" si="349"/>
        <v>29.226932999999988</v>
      </c>
      <c r="U775" s="311">
        <f t="shared" ca="1" si="350"/>
        <v>0</v>
      </c>
      <c r="V775" s="306">
        <f t="shared" ca="1" si="351"/>
        <v>1.2254121545269745</v>
      </c>
      <c r="W775" s="304">
        <f t="shared" ca="1" si="352"/>
        <v>27.456633292174644</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0.56965000988837566</v>
      </c>
      <c r="AH775" s="304">
        <f t="shared" ca="1" si="376"/>
        <v>-9.2157804648321697</v>
      </c>
    </row>
    <row r="776" spans="1:34" x14ac:dyDescent="0.2">
      <c r="A776" s="347">
        <f t="shared" ca="1" si="354"/>
        <v>1E-4</v>
      </c>
      <c r="B776" s="304">
        <f t="shared" ca="1" si="355"/>
        <v>37.02680000000111</v>
      </c>
      <c r="D776" s="306">
        <f t="shared" ca="1" si="356"/>
        <v>-0.65183212960595149</v>
      </c>
      <c r="E776" s="307">
        <f t="shared" ca="1" si="357"/>
        <v>-0.61728077805261883</v>
      </c>
      <c r="F776" s="304">
        <f t="shared" ca="1" si="358"/>
        <v>0.89773085283946685</v>
      </c>
      <c r="G776" s="306">
        <f t="shared" ca="1" si="359"/>
        <v>7.3985226158832011</v>
      </c>
      <c r="H776" s="307">
        <f t="shared" ca="1" si="360"/>
        <v>-104.34155885116738</v>
      </c>
      <c r="I776" s="304">
        <f t="shared" ca="1" si="361"/>
        <v>104.60353263819229</v>
      </c>
      <c r="J776" s="306">
        <f t="shared" ca="1" si="362"/>
        <v>839.7136314269211</v>
      </c>
      <c r="K776" s="307">
        <f t="shared" ca="1" si="363"/>
        <v>-3.3743949967977005</v>
      </c>
      <c r="L776" s="304">
        <f t="shared" ca="1" si="348"/>
        <v>839.72041141428826</v>
      </c>
      <c r="M776" s="306">
        <f t="shared" ca="1" si="364"/>
        <v>-1.5000080367568487</v>
      </c>
      <c r="N776" s="304">
        <f t="shared" ca="1" si="365"/>
        <v>-85.94412974187189</v>
      </c>
      <c r="P776" s="310">
        <f t="shared" ca="1" si="366"/>
        <v>23</v>
      </c>
      <c r="Q776" s="304">
        <f t="shared" ca="1" si="367"/>
        <v>0</v>
      </c>
      <c r="R776" s="306">
        <f t="shared" ca="1" si="368"/>
        <v>0</v>
      </c>
      <c r="S776" s="307">
        <f t="shared" ca="1" si="369"/>
        <v>2.9792999999999985</v>
      </c>
      <c r="T776" s="304">
        <f t="shared" ca="1" si="349"/>
        <v>29.226932999999988</v>
      </c>
      <c r="U776" s="311">
        <f t="shared" ca="1" si="350"/>
        <v>0</v>
      </c>
      <c r="V776" s="306">
        <f t="shared" ca="1" si="351"/>
        <v>1.2254134331414439</v>
      </c>
      <c r="W776" s="304">
        <f t="shared" ca="1" si="352"/>
        <v>27.45669184459279</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0.56963081677356797</v>
      </c>
      <c r="AH776" s="304">
        <f t="shared" ca="1" si="376"/>
        <v>-9.2158001182071825</v>
      </c>
    </row>
    <row r="777" spans="1:34" x14ac:dyDescent="0.2">
      <c r="A777" s="347">
        <f t="shared" ca="1" si="354"/>
        <v>1E-4</v>
      </c>
      <c r="B777" s="304">
        <f t="shared" ca="1" si="355"/>
        <v>37.026900000001113</v>
      </c>
      <c r="D777" s="306">
        <f t="shared" ca="1" si="356"/>
        <v>-0.65182742190553167</v>
      </c>
      <c r="E777" s="307">
        <f t="shared" ca="1" si="357"/>
        <v>-0.61726074182017499</v>
      </c>
      <c r="F777" s="304">
        <f t="shared" ca="1" si="358"/>
        <v>0.89771365776644207</v>
      </c>
      <c r="G777" s="306">
        <f t="shared" ca="1" si="359"/>
        <v>7.3984574331410107</v>
      </c>
      <c r="H777" s="307">
        <f t="shared" ca="1" si="360"/>
        <v>-104.34162057724156</v>
      </c>
      <c r="I777" s="304">
        <f t="shared" ca="1" si="361"/>
        <v>104.6035895993777</v>
      </c>
      <c r="J777" s="306">
        <f t="shared" ca="1" si="362"/>
        <v>839.7136314269211</v>
      </c>
      <c r="K777" s="307">
        <f t="shared" ca="1" si="363"/>
        <v>-3.384829155769121</v>
      </c>
      <c r="L777" s="304">
        <f t="shared" ca="1" si="348"/>
        <v>839.72045340851435</v>
      </c>
      <c r="M777" s="306">
        <f t="shared" ca="1" si="364"/>
        <v>-1.5000087000737652</v>
      </c>
      <c r="N777" s="304">
        <f t="shared" ca="1" si="365"/>
        <v>-85.944167747131686</v>
      </c>
      <c r="P777" s="310">
        <f t="shared" ca="1" si="366"/>
        <v>23</v>
      </c>
      <c r="Q777" s="304">
        <f t="shared" ca="1" si="367"/>
        <v>0</v>
      </c>
      <c r="R777" s="306">
        <f t="shared" ca="1" si="368"/>
        <v>0</v>
      </c>
      <c r="S777" s="307">
        <f t="shared" ca="1" si="369"/>
        <v>2.9792999999999985</v>
      </c>
      <c r="T777" s="304">
        <f t="shared" ca="1" si="349"/>
        <v>29.226932999999988</v>
      </c>
      <c r="U777" s="311">
        <f t="shared" ca="1" si="350"/>
        <v>0</v>
      </c>
      <c r="V777" s="306">
        <f t="shared" ca="1" si="351"/>
        <v>1.2254147117580043</v>
      </c>
      <c r="W777" s="304">
        <f t="shared" ca="1" si="352"/>
        <v>27.456750396128918</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0.56961162394595277</v>
      </c>
      <c r="AH777" s="304">
        <f t="shared" ca="1" si="376"/>
        <v>-9.2158197712861423</v>
      </c>
    </row>
    <row r="778" spans="1:34" x14ac:dyDescent="0.2">
      <c r="A778" s="347">
        <f t="shared" ca="1" si="354"/>
        <v>1E-4</v>
      </c>
      <c r="B778" s="304">
        <f t="shared" ca="1" si="355"/>
        <v>37.027000000001117</v>
      </c>
      <c r="D778" s="306">
        <f t="shared" ca="1" si="356"/>
        <v>-0.651822714218245</v>
      </c>
      <c r="E778" s="307">
        <f t="shared" ca="1" si="357"/>
        <v>-0.61724070588951996</v>
      </c>
      <c r="F778" s="304">
        <f t="shared" ca="1" si="358"/>
        <v>0.89769646305298145</v>
      </c>
      <c r="G778" s="306">
        <f t="shared" ca="1" si="359"/>
        <v>7.3983922508695885</v>
      </c>
      <c r="H778" s="307">
        <f t="shared" ca="1" si="360"/>
        <v>-104.34168230131215</v>
      </c>
      <c r="I778" s="304">
        <f t="shared" ca="1" si="361"/>
        <v>104.60364655864385</v>
      </c>
      <c r="J778" s="306">
        <f t="shared" ca="1" si="362"/>
        <v>839.7136314269211</v>
      </c>
      <c r="K778" s="307">
        <f t="shared" ca="1" si="363"/>
        <v>-3.3952633209130485</v>
      </c>
      <c r="L778" s="304">
        <f t="shared" ca="1" si="348"/>
        <v>839.7204955324155</v>
      </c>
      <c r="M778" s="306">
        <f t="shared" ca="1" si="364"/>
        <v>-1.5000093633841156</v>
      </c>
      <c r="N778" s="304">
        <f t="shared" ca="1" si="365"/>
        <v>-85.944205752015264</v>
      </c>
      <c r="P778" s="310">
        <f t="shared" ca="1" si="366"/>
        <v>23</v>
      </c>
      <c r="Q778" s="304">
        <f t="shared" ca="1" si="367"/>
        <v>0</v>
      </c>
      <c r="R778" s="306">
        <f t="shared" ca="1" si="368"/>
        <v>0</v>
      </c>
      <c r="S778" s="307">
        <f t="shared" ca="1" si="369"/>
        <v>2.9792999999999985</v>
      </c>
      <c r="T778" s="304">
        <f t="shared" ca="1" si="349"/>
        <v>29.226932999999988</v>
      </c>
      <c r="U778" s="311">
        <f t="shared" ca="1" si="350"/>
        <v>0</v>
      </c>
      <c r="V778" s="306">
        <f t="shared" ca="1" si="351"/>
        <v>1.2254159903766553</v>
      </c>
      <c r="W778" s="304">
        <f t="shared" ca="1" si="352"/>
        <v>27.45680894678301</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0.56959243140552474</v>
      </c>
      <c r="AH778" s="304">
        <f t="shared" ca="1" si="376"/>
        <v>-9.2158394240690544</v>
      </c>
    </row>
    <row r="779" spans="1:34" x14ac:dyDescent="0.2">
      <c r="A779" s="347">
        <f t="shared" ca="1" si="354"/>
        <v>1E-4</v>
      </c>
      <c r="B779" s="304">
        <f t="shared" ca="1" si="355"/>
        <v>37.02710000000112</v>
      </c>
      <c r="D779" s="306">
        <f t="shared" ca="1" si="356"/>
        <v>-0.65181800654408595</v>
      </c>
      <c r="E779" s="307">
        <f t="shared" ca="1" si="357"/>
        <v>-0.61722067026066085</v>
      </c>
      <c r="F779" s="304">
        <f t="shared" ca="1" si="358"/>
        <v>0.89767926869908587</v>
      </c>
      <c r="G779" s="306">
        <f t="shared" ca="1" si="359"/>
        <v>7.3983270690689338</v>
      </c>
      <c r="H779" s="307">
        <f t="shared" ca="1" si="360"/>
        <v>-104.34174402337918</v>
      </c>
      <c r="I779" s="304">
        <f t="shared" ca="1" si="361"/>
        <v>104.60370351599079</v>
      </c>
      <c r="J779" s="306">
        <f t="shared" ca="1" si="362"/>
        <v>839.7136314269211</v>
      </c>
      <c r="K779" s="307">
        <f t="shared" ca="1" si="363"/>
        <v>-3.4056974922292831</v>
      </c>
      <c r="L779" s="304">
        <f t="shared" ca="1" si="348"/>
        <v>839.72053778599206</v>
      </c>
      <c r="M779" s="306">
        <f t="shared" ca="1" si="364"/>
        <v>-1.5000100266878995</v>
      </c>
      <c r="N779" s="304">
        <f t="shared" ca="1" si="365"/>
        <v>-85.944243756522624</v>
      </c>
      <c r="P779" s="310">
        <f t="shared" ca="1" si="366"/>
        <v>23</v>
      </c>
      <c r="Q779" s="304">
        <f t="shared" ca="1" si="367"/>
        <v>0</v>
      </c>
      <c r="R779" s="306">
        <f t="shared" ca="1" si="368"/>
        <v>0</v>
      </c>
      <c r="S779" s="307">
        <f t="shared" ca="1" si="369"/>
        <v>2.9792999999999985</v>
      </c>
      <c r="T779" s="304">
        <f t="shared" ca="1" si="349"/>
        <v>29.226932999999988</v>
      </c>
      <c r="U779" s="311">
        <f t="shared" ca="1" si="350"/>
        <v>0</v>
      </c>
      <c r="V779" s="306">
        <f t="shared" ca="1" si="351"/>
        <v>1.225417268997397</v>
      </c>
      <c r="W779" s="304">
        <f t="shared" ca="1" si="352"/>
        <v>27.456867496555112</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0.56957323915228919</v>
      </c>
      <c r="AH779" s="304">
        <f t="shared" ca="1" si="376"/>
        <v>-9.2158590765559101</v>
      </c>
    </row>
    <row r="780" spans="1:34" x14ac:dyDescent="0.2">
      <c r="A780" s="347">
        <f t="shared" ca="1" si="354"/>
        <v>1E-4</v>
      </c>
      <c r="B780" s="304">
        <f t="shared" ca="1" si="355"/>
        <v>37.027200000001123</v>
      </c>
      <c r="D780" s="306">
        <f t="shared" ca="1" si="356"/>
        <v>-0.65181329888306083</v>
      </c>
      <c r="E780" s="307">
        <f t="shared" ca="1" si="357"/>
        <v>-0.61720063493358168</v>
      </c>
      <c r="F780" s="304">
        <f t="shared" ca="1" si="358"/>
        <v>0.89766207470474924</v>
      </c>
      <c r="G780" s="306">
        <f t="shared" ca="1" si="359"/>
        <v>7.3982618877390456</v>
      </c>
      <c r="H780" s="307">
        <f t="shared" ca="1" si="360"/>
        <v>-104.34180574344268</v>
      </c>
      <c r="I780" s="304">
        <f t="shared" ca="1" si="361"/>
        <v>104.60376047141851</v>
      </c>
      <c r="J780" s="306">
        <f t="shared" ca="1" si="362"/>
        <v>839.7136314269211</v>
      </c>
      <c r="K780" s="307">
        <f t="shared" ca="1" si="363"/>
        <v>-3.4161316697176241</v>
      </c>
      <c r="L780" s="304">
        <f t="shared" ca="1" si="348"/>
        <v>839.72058016924416</v>
      </c>
      <c r="M780" s="306">
        <f t="shared" ca="1" si="364"/>
        <v>-1.5000106899851173</v>
      </c>
      <c r="N780" s="304">
        <f t="shared" ca="1" si="365"/>
        <v>-85.944281760653766</v>
      </c>
      <c r="P780" s="310">
        <f t="shared" ca="1" si="366"/>
        <v>23</v>
      </c>
      <c r="Q780" s="304">
        <f t="shared" ca="1" si="367"/>
        <v>0</v>
      </c>
      <c r="R780" s="306">
        <f t="shared" ca="1" si="368"/>
        <v>0</v>
      </c>
      <c r="S780" s="307">
        <f t="shared" ca="1" si="369"/>
        <v>2.9792999999999985</v>
      </c>
      <c r="T780" s="304">
        <f t="shared" ca="1" si="349"/>
        <v>29.226932999999988</v>
      </c>
      <c r="U780" s="311">
        <f t="shared" ca="1" si="350"/>
        <v>0</v>
      </c>
      <c r="V780" s="306">
        <f t="shared" ca="1" si="351"/>
        <v>1.2254185476202295</v>
      </c>
      <c r="W780" s="304">
        <f t="shared" ca="1" si="352"/>
        <v>27.456926045445204</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0.56955404718623193</v>
      </c>
      <c r="AH780" s="304">
        <f t="shared" ca="1" si="376"/>
        <v>-9.215878728746727</v>
      </c>
    </row>
    <row r="781" spans="1:34" x14ac:dyDescent="0.2">
      <c r="A781" s="347">
        <f t="shared" ca="1" si="354"/>
        <v>1E-4</v>
      </c>
      <c r="B781" s="304">
        <f t="shared" ca="1" si="355"/>
        <v>37.027300000001127</v>
      </c>
      <c r="D781" s="306">
        <f t="shared" ca="1" si="356"/>
        <v>-0.65180859123516599</v>
      </c>
      <c r="E781" s="307">
        <f t="shared" ca="1" si="357"/>
        <v>-0.61718059990828245</v>
      </c>
      <c r="F781" s="304">
        <f t="shared" ca="1" si="358"/>
        <v>0.8976448810699692</v>
      </c>
      <c r="G781" s="306">
        <f t="shared" ca="1" si="359"/>
        <v>7.3981967068799221</v>
      </c>
      <c r="H781" s="307">
        <f t="shared" ca="1" si="360"/>
        <v>-104.34186746150267</v>
      </c>
      <c r="I781" s="304">
        <f t="shared" ca="1" si="361"/>
        <v>104.60381742492709</v>
      </c>
      <c r="J781" s="306">
        <f t="shared" ca="1" si="362"/>
        <v>839.7136314269211</v>
      </c>
      <c r="K781" s="307">
        <f t="shared" ca="1" si="363"/>
        <v>-3.4265658533778711</v>
      </c>
      <c r="L781" s="304">
        <f t="shared" ca="1" si="348"/>
        <v>839.72062268217201</v>
      </c>
      <c r="M781" s="306">
        <f t="shared" ca="1" si="364"/>
        <v>-1.5000113532757691</v>
      </c>
      <c r="N781" s="304">
        <f t="shared" ca="1" si="365"/>
        <v>-85.944319764408704</v>
      </c>
      <c r="P781" s="310">
        <f t="shared" ca="1" si="366"/>
        <v>23</v>
      </c>
      <c r="Q781" s="304">
        <f t="shared" ca="1" si="367"/>
        <v>0</v>
      </c>
      <c r="R781" s="306">
        <f t="shared" ca="1" si="368"/>
        <v>0</v>
      </c>
      <c r="S781" s="307">
        <f t="shared" ca="1" si="369"/>
        <v>2.9792999999999985</v>
      </c>
      <c r="T781" s="304">
        <f t="shared" ca="1" si="349"/>
        <v>29.226932999999988</v>
      </c>
      <c r="U781" s="311">
        <f t="shared" ca="1" si="350"/>
        <v>0</v>
      </c>
      <c r="V781" s="306">
        <f t="shared" ca="1" si="351"/>
        <v>1.2254198262451526</v>
      </c>
      <c r="W781" s="304">
        <f t="shared" ca="1" si="352"/>
        <v>27.456984593453317</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0.5695348555073565</v>
      </c>
      <c r="AH781" s="304">
        <f t="shared" ca="1" si="376"/>
        <v>-9.2158983806414998</v>
      </c>
    </row>
    <row r="782" spans="1:34" x14ac:dyDescent="0.2">
      <c r="A782" s="347">
        <f t="shared" ca="1" si="354"/>
        <v>1E-4</v>
      </c>
      <c r="B782" s="304">
        <f t="shared" ca="1" si="355"/>
        <v>37.02740000000113</v>
      </c>
      <c r="D782" s="306">
        <f t="shared" ca="1" si="356"/>
        <v>-0.65180388360040298</v>
      </c>
      <c r="E782" s="307">
        <f t="shared" ca="1" si="357"/>
        <v>-0.61716056518476314</v>
      </c>
      <c r="F782" s="304">
        <f t="shared" ca="1" si="358"/>
        <v>0.89762768779474711</v>
      </c>
      <c r="G782" s="306">
        <f t="shared" ca="1" si="359"/>
        <v>7.3981315264915617</v>
      </c>
      <c r="H782" s="307">
        <f t="shared" ca="1" si="360"/>
        <v>-104.34192917755919</v>
      </c>
      <c r="I782" s="304">
        <f t="shared" ca="1" si="361"/>
        <v>104.60387437651652</v>
      </c>
      <c r="J782" s="306">
        <f t="shared" ca="1" si="362"/>
        <v>839.7136314269211</v>
      </c>
      <c r="K782" s="307">
        <f t="shared" ca="1" si="363"/>
        <v>-3.437000043209824</v>
      </c>
      <c r="L782" s="304">
        <f t="shared" ca="1" si="348"/>
        <v>839.72066532477584</v>
      </c>
      <c r="M782" s="306">
        <f t="shared" ca="1" si="364"/>
        <v>-1.5000120165598547</v>
      </c>
      <c r="N782" s="304">
        <f t="shared" ca="1" si="365"/>
        <v>-85.944357767787423</v>
      </c>
      <c r="P782" s="310">
        <f t="shared" ca="1" si="366"/>
        <v>23</v>
      </c>
      <c r="Q782" s="304">
        <f t="shared" ca="1" si="367"/>
        <v>0</v>
      </c>
      <c r="R782" s="306">
        <f t="shared" ca="1" si="368"/>
        <v>0</v>
      </c>
      <c r="S782" s="307">
        <f t="shared" ca="1" si="369"/>
        <v>2.9792999999999985</v>
      </c>
      <c r="T782" s="304">
        <f t="shared" ca="1" si="349"/>
        <v>29.226932999999988</v>
      </c>
      <c r="U782" s="311">
        <f t="shared" ca="1" si="350"/>
        <v>0</v>
      </c>
      <c r="V782" s="306">
        <f t="shared" ca="1" si="351"/>
        <v>1.2254211048721664</v>
      </c>
      <c r="W782" s="304">
        <f t="shared" ca="1" si="352"/>
        <v>27.457043140579458</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0.56951566411565935</v>
      </c>
      <c r="AH782" s="304">
        <f t="shared" ca="1" si="376"/>
        <v>-9.2159180322402339</v>
      </c>
    </row>
    <row r="783" spans="1:34" x14ac:dyDescent="0.2">
      <c r="A783" s="347">
        <f t="shared" ca="1" si="354"/>
        <v>1E-4</v>
      </c>
      <c r="B783" s="304">
        <f t="shared" ca="1" si="355"/>
        <v>37.027500000001133</v>
      </c>
      <c r="D783" s="306">
        <f t="shared" ca="1" si="356"/>
        <v>-0.65179917597877313</v>
      </c>
      <c r="E783" s="307">
        <f t="shared" ca="1" si="357"/>
        <v>-0.61714053076301312</v>
      </c>
      <c r="F783" s="304">
        <f t="shared" ca="1" si="358"/>
        <v>0.89761049487907685</v>
      </c>
      <c r="G783" s="306">
        <f t="shared" ca="1" si="359"/>
        <v>7.3980663465739642</v>
      </c>
      <c r="H783" s="307">
        <f t="shared" ca="1" si="360"/>
        <v>-104.34199089161227</v>
      </c>
      <c r="I783" s="304">
        <f t="shared" ca="1" si="361"/>
        <v>104.60393132618682</v>
      </c>
      <c r="J783" s="306">
        <f t="shared" ca="1" si="362"/>
        <v>839.7136314269211</v>
      </c>
      <c r="K783" s="307">
        <f t="shared" ca="1" si="363"/>
        <v>-3.4474342392132824</v>
      </c>
      <c r="L783" s="304">
        <f t="shared" ca="1" si="348"/>
        <v>839.72070809705576</v>
      </c>
      <c r="M783" s="306">
        <f t="shared" ca="1" si="364"/>
        <v>-1.5000126798373743</v>
      </c>
      <c r="N783" s="304">
        <f t="shared" ca="1" si="365"/>
        <v>-85.944395770789939</v>
      </c>
      <c r="P783" s="310">
        <f t="shared" ca="1" si="366"/>
        <v>23</v>
      </c>
      <c r="Q783" s="304">
        <f t="shared" ca="1" si="367"/>
        <v>0</v>
      </c>
      <c r="R783" s="306">
        <f t="shared" ca="1" si="368"/>
        <v>0</v>
      </c>
      <c r="S783" s="307">
        <f t="shared" ca="1" si="369"/>
        <v>2.9792999999999985</v>
      </c>
      <c r="T783" s="304">
        <f t="shared" ca="1" si="349"/>
        <v>29.226932999999988</v>
      </c>
      <c r="U783" s="311">
        <f t="shared" ca="1" si="350"/>
        <v>0</v>
      </c>
      <c r="V783" s="306">
        <f t="shared" ca="1" si="351"/>
        <v>1.225422383501271</v>
      </c>
      <c r="W783" s="304">
        <f t="shared" ca="1" si="352"/>
        <v>27.457101686823624</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0.56949647301113338</v>
      </c>
      <c r="AH783" s="304">
        <f t="shared" ca="1" si="376"/>
        <v>-9.2159376835429363</v>
      </c>
    </row>
    <row r="784" spans="1:34" x14ac:dyDescent="0.2">
      <c r="A784" s="347">
        <f t="shared" ca="1" si="354"/>
        <v>1E-4</v>
      </c>
      <c r="B784" s="304">
        <f t="shared" ca="1" si="355"/>
        <v>37.027600000001136</v>
      </c>
      <c r="D784" s="306">
        <f t="shared" ca="1" si="356"/>
        <v>-0.65179446837027744</v>
      </c>
      <c r="E784" s="307">
        <f t="shared" ca="1" si="357"/>
        <v>-0.6171204966430377</v>
      </c>
      <c r="F784" s="304">
        <f t="shared" ca="1" si="358"/>
        <v>0.89759330232296308</v>
      </c>
      <c r="G784" s="306">
        <f t="shared" ca="1" si="359"/>
        <v>7.3980011671271271</v>
      </c>
      <c r="H784" s="307">
        <f t="shared" ca="1" si="360"/>
        <v>-104.34205260366194</v>
      </c>
      <c r="I784" s="304">
        <f t="shared" ca="1" si="361"/>
        <v>104.60398827393806</v>
      </c>
      <c r="J784" s="306">
        <f t="shared" ca="1" si="362"/>
        <v>839.7136314269211</v>
      </c>
      <c r="K784" s="307">
        <f t="shared" ca="1" si="363"/>
        <v>-3.4578684413880461</v>
      </c>
      <c r="L784" s="304">
        <f t="shared" ca="1" si="348"/>
        <v>839.72075099901224</v>
      </c>
      <c r="M784" s="306">
        <f t="shared" ca="1" si="364"/>
        <v>-1.500013343108328</v>
      </c>
      <c r="N784" s="304">
        <f t="shared" ca="1" si="365"/>
        <v>-85.944433773416264</v>
      </c>
      <c r="P784" s="310">
        <f t="shared" ca="1" si="366"/>
        <v>23</v>
      </c>
      <c r="Q784" s="304">
        <f t="shared" ca="1" si="367"/>
        <v>0</v>
      </c>
      <c r="R784" s="306">
        <f t="shared" ca="1" si="368"/>
        <v>0</v>
      </c>
      <c r="S784" s="307">
        <f t="shared" ca="1" si="369"/>
        <v>2.9792999999999985</v>
      </c>
      <c r="T784" s="304">
        <f t="shared" ca="1" si="349"/>
        <v>29.226932999999988</v>
      </c>
      <c r="U784" s="311">
        <f t="shared" ca="1" si="350"/>
        <v>0</v>
      </c>
      <c r="V784" s="306">
        <f t="shared" ca="1" si="351"/>
        <v>1.2254236621324659</v>
      </c>
      <c r="W784" s="304">
        <f t="shared" ca="1" si="352"/>
        <v>27.457160232185824</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0.56947728219378213</v>
      </c>
      <c r="AH784" s="304">
        <f t="shared" ca="1" si="376"/>
        <v>-9.2159573345496053</v>
      </c>
    </row>
    <row r="785" spans="1:34" x14ac:dyDescent="0.2">
      <c r="A785" s="347">
        <f t="shared" ca="1" si="354"/>
        <v>1E-4</v>
      </c>
      <c r="B785" s="304">
        <f t="shared" ca="1" si="355"/>
        <v>37.02770000000114</v>
      </c>
      <c r="D785" s="306">
        <f t="shared" ca="1" si="356"/>
        <v>-0.65178976077491479</v>
      </c>
      <c r="E785" s="307">
        <f t="shared" ca="1" si="357"/>
        <v>-0.61710046282483333</v>
      </c>
      <c r="F785" s="304">
        <f t="shared" ca="1" si="358"/>
        <v>0.8975761101264027</v>
      </c>
      <c r="G785" s="306">
        <f t="shared" ca="1" si="359"/>
        <v>7.3979359881510494</v>
      </c>
      <c r="H785" s="307">
        <f t="shared" ca="1" si="360"/>
        <v>-104.34211431370822</v>
      </c>
      <c r="I785" s="304">
        <f t="shared" ca="1" si="361"/>
        <v>104.60404521977023</v>
      </c>
      <c r="J785" s="306">
        <f t="shared" ca="1" si="362"/>
        <v>839.7136314269211</v>
      </c>
      <c r="K785" s="307">
        <f t="shared" ca="1" si="363"/>
        <v>-3.4683026497339147</v>
      </c>
      <c r="L785" s="304">
        <f t="shared" ca="1" si="348"/>
        <v>839.72079403064527</v>
      </c>
      <c r="M785" s="306">
        <f t="shared" ca="1" si="364"/>
        <v>-1.5000140063727161</v>
      </c>
      <c r="N785" s="304">
        <f t="shared" ca="1" si="365"/>
        <v>-85.944471775666401</v>
      </c>
      <c r="P785" s="310">
        <f t="shared" ca="1" si="366"/>
        <v>23</v>
      </c>
      <c r="Q785" s="304">
        <f t="shared" ca="1" si="367"/>
        <v>0</v>
      </c>
      <c r="R785" s="306">
        <f t="shared" ca="1" si="368"/>
        <v>0</v>
      </c>
      <c r="S785" s="307">
        <f t="shared" ca="1" si="369"/>
        <v>2.9792999999999985</v>
      </c>
      <c r="T785" s="304">
        <f t="shared" ca="1" si="349"/>
        <v>29.226932999999988</v>
      </c>
      <c r="U785" s="311">
        <f t="shared" ca="1" si="350"/>
        <v>0</v>
      </c>
      <c r="V785" s="306">
        <f t="shared" ca="1" si="351"/>
        <v>1.2254249407657516</v>
      </c>
      <c r="W785" s="304">
        <f t="shared" ca="1" si="352"/>
        <v>27.457218776666085</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0.56945809166360029</v>
      </c>
      <c r="AH785" s="304">
        <f t="shared" ca="1" si="376"/>
        <v>-9.2159769852602409</v>
      </c>
    </row>
    <row r="786" spans="1:34" x14ac:dyDescent="0.2">
      <c r="A786" s="347">
        <f t="shared" ca="1" si="354"/>
        <v>1E-4</v>
      </c>
      <c r="B786" s="304">
        <f t="shared" ca="1" si="355"/>
        <v>37.027800000001143</v>
      </c>
      <c r="D786" s="306">
        <f t="shared" ca="1" si="356"/>
        <v>-0.65178505319268498</v>
      </c>
      <c r="E786" s="307">
        <f t="shared" ca="1" si="357"/>
        <v>-0.61708042930838758</v>
      </c>
      <c r="F786" s="304">
        <f t="shared" ca="1" si="358"/>
        <v>0.89755891828938739</v>
      </c>
      <c r="G786" s="306">
        <f t="shared" ca="1" si="359"/>
        <v>7.3978708096457302</v>
      </c>
      <c r="H786" s="307">
        <f t="shared" ca="1" si="360"/>
        <v>-104.34217602175116</v>
      </c>
      <c r="I786" s="304">
        <f t="shared" ca="1" si="361"/>
        <v>104.60410216368338</v>
      </c>
      <c r="J786" s="306">
        <f t="shared" ca="1" si="362"/>
        <v>839.7136314269211</v>
      </c>
      <c r="K786" s="307">
        <f t="shared" ca="1" si="363"/>
        <v>-3.4787368642506875</v>
      </c>
      <c r="L786" s="304">
        <f t="shared" ca="1" si="348"/>
        <v>839.72083719195496</v>
      </c>
      <c r="M786" s="306">
        <f t="shared" ca="1" si="364"/>
        <v>-1.5000146696305383</v>
      </c>
      <c r="N786" s="304">
        <f t="shared" ca="1" si="365"/>
        <v>-85.944509777540347</v>
      </c>
      <c r="P786" s="310">
        <f t="shared" ca="1" si="366"/>
        <v>23</v>
      </c>
      <c r="Q786" s="304">
        <f t="shared" ca="1" si="367"/>
        <v>0</v>
      </c>
      <c r="R786" s="306">
        <f t="shared" ca="1" si="368"/>
        <v>0</v>
      </c>
      <c r="S786" s="307">
        <f t="shared" ca="1" si="369"/>
        <v>2.9792999999999985</v>
      </c>
      <c r="T786" s="304">
        <f t="shared" ca="1" si="349"/>
        <v>29.226932999999988</v>
      </c>
      <c r="U786" s="311">
        <f t="shared" ca="1" si="350"/>
        <v>0</v>
      </c>
      <c r="V786" s="306">
        <f t="shared" ca="1" si="351"/>
        <v>1.2254262194011278</v>
      </c>
      <c r="W786" s="304">
        <f t="shared" ca="1" si="352"/>
        <v>27.457277320264406</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0.56943890142058251</v>
      </c>
      <c r="AH786" s="304">
        <f t="shared" ca="1" si="376"/>
        <v>-9.2159966356748555</v>
      </c>
    </row>
    <row r="787" spans="1:34" x14ac:dyDescent="0.2">
      <c r="A787" s="347">
        <f t="shared" ca="1" si="354"/>
        <v>1E-4</v>
      </c>
      <c r="B787" s="304">
        <f t="shared" ca="1" si="355"/>
        <v>37.027900000001146</v>
      </c>
      <c r="D787" s="306">
        <f t="shared" ca="1" si="356"/>
        <v>-0.65178034562359088</v>
      </c>
      <c r="E787" s="307">
        <f t="shared" ca="1" si="357"/>
        <v>-0.61706039609370578</v>
      </c>
      <c r="F787" s="304">
        <f t="shared" ca="1" si="358"/>
        <v>0.89754172681192301</v>
      </c>
      <c r="G787" s="306">
        <f t="shared" ca="1" si="359"/>
        <v>7.3978056316111678</v>
      </c>
      <c r="H787" s="307">
        <f t="shared" ca="1" si="360"/>
        <v>-104.34223772779076</v>
      </c>
      <c r="I787" s="304">
        <f t="shared" ca="1" si="361"/>
        <v>104.60415910567752</v>
      </c>
      <c r="J787" s="306">
        <f t="shared" ca="1" si="362"/>
        <v>839.7136314269211</v>
      </c>
      <c r="K787" s="307">
        <f t="shared" ca="1" si="363"/>
        <v>-3.4891710849381647</v>
      </c>
      <c r="L787" s="304">
        <f t="shared" ca="1" si="348"/>
        <v>839.72088048294188</v>
      </c>
      <c r="M787" s="306">
        <f t="shared" ca="1" si="364"/>
        <v>-1.5000153328817949</v>
      </c>
      <c r="N787" s="304">
        <f t="shared" ca="1" si="365"/>
        <v>-85.944547779038103</v>
      </c>
      <c r="P787" s="310">
        <f t="shared" ca="1" si="366"/>
        <v>23</v>
      </c>
      <c r="Q787" s="304">
        <f t="shared" ca="1" si="367"/>
        <v>0</v>
      </c>
      <c r="R787" s="306">
        <f t="shared" ca="1" si="368"/>
        <v>0</v>
      </c>
      <c r="S787" s="307">
        <f t="shared" ca="1" si="369"/>
        <v>2.9792999999999985</v>
      </c>
      <c r="T787" s="304">
        <f t="shared" ca="1" si="349"/>
        <v>29.226932999999988</v>
      </c>
      <c r="U787" s="311">
        <f t="shared" ca="1" si="350"/>
        <v>0</v>
      </c>
      <c r="V787" s="306">
        <f t="shared" ca="1" si="351"/>
        <v>1.2254274980385946</v>
      </c>
      <c r="W787" s="304">
        <f t="shared" ca="1" si="352"/>
        <v>27.457335862980798</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0.56941971146472525</v>
      </c>
      <c r="AH787" s="304">
        <f t="shared" ca="1" si="376"/>
        <v>-9.2160162857934473</v>
      </c>
    </row>
    <row r="788" spans="1:34" x14ac:dyDescent="0.2">
      <c r="A788" s="347">
        <f t="shared" ca="1" si="354"/>
        <v>1E-4</v>
      </c>
      <c r="B788" s="304">
        <f t="shared" ca="1" si="355"/>
        <v>37.02800000000115</v>
      </c>
      <c r="D788" s="306">
        <f t="shared" ca="1" si="356"/>
        <v>-0.65177563806763184</v>
      </c>
      <c r="E788" s="307">
        <f t="shared" ca="1" si="357"/>
        <v>-0.61704036318077726</v>
      </c>
      <c r="F788" s="304">
        <f t="shared" ca="1" si="358"/>
        <v>0.89752453569400215</v>
      </c>
      <c r="G788" s="306">
        <f t="shared" ca="1" si="359"/>
        <v>7.3977404540473612</v>
      </c>
      <c r="H788" s="307">
        <f t="shared" ca="1" si="360"/>
        <v>-104.34229943182707</v>
      </c>
      <c r="I788" s="304">
        <f t="shared" ca="1" si="361"/>
        <v>104.60421604575271</v>
      </c>
      <c r="J788" s="306">
        <f t="shared" ca="1" si="362"/>
        <v>839.7136314269211</v>
      </c>
      <c r="K788" s="307">
        <f t="shared" ca="1" si="363"/>
        <v>-3.4996053117961456</v>
      </c>
      <c r="L788" s="304">
        <f t="shared" ca="1" si="348"/>
        <v>839.72092390360592</v>
      </c>
      <c r="M788" s="306">
        <f t="shared" ca="1" si="364"/>
        <v>-1.5000159961264858</v>
      </c>
      <c r="N788" s="304">
        <f t="shared" ca="1" si="365"/>
        <v>-85.944585780159684</v>
      </c>
      <c r="P788" s="310">
        <f t="shared" ca="1" si="366"/>
        <v>23</v>
      </c>
      <c r="Q788" s="304">
        <f t="shared" ca="1" si="367"/>
        <v>0</v>
      </c>
      <c r="R788" s="306">
        <f t="shared" ca="1" si="368"/>
        <v>0</v>
      </c>
      <c r="S788" s="307">
        <f t="shared" ca="1" si="369"/>
        <v>2.9792999999999985</v>
      </c>
      <c r="T788" s="304">
        <f t="shared" ca="1" si="349"/>
        <v>29.226932999999988</v>
      </c>
      <c r="U788" s="311">
        <f t="shared" ca="1" si="350"/>
        <v>0</v>
      </c>
      <c r="V788" s="306">
        <f t="shared" ca="1" si="351"/>
        <v>1.2254287766781524</v>
      </c>
      <c r="W788" s="304">
        <f t="shared" ca="1" si="352"/>
        <v>27.45739440481529</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0.56940052179602674</v>
      </c>
      <c r="AH788" s="304">
        <f t="shared" ca="1" si="376"/>
        <v>-9.2160359356160217</v>
      </c>
    </row>
    <row r="789" spans="1:34" x14ac:dyDescent="0.2">
      <c r="A789" s="347">
        <f t="shared" ca="1" si="354"/>
        <v>1E-4</v>
      </c>
      <c r="B789" s="304">
        <f t="shared" ca="1" si="355"/>
        <v>37.028100000001153</v>
      </c>
      <c r="D789" s="306">
        <f t="shared" ca="1" si="356"/>
        <v>-0.6517709305248095</v>
      </c>
      <c r="E789" s="307">
        <f t="shared" ca="1" si="357"/>
        <v>-0.61702033056960026</v>
      </c>
      <c r="F789" s="304">
        <f t="shared" ca="1" si="358"/>
        <v>0.89750734493562501</v>
      </c>
      <c r="G789" s="306">
        <f t="shared" ca="1" si="359"/>
        <v>7.3976752769543088</v>
      </c>
      <c r="H789" s="307">
        <f t="shared" ca="1" si="360"/>
        <v>-104.34236113386012</v>
      </c>
      <c r="I789" s="304">
        <f t="shared" ca="1" si="361"/>
        <v>104.60427298390896</v>
      </c>
      <c r="J789" s="306">
        <f t="shared" ca="1" si="362"/>
        <v>839.7136314269211</v>
      </c>
      <c r="K789" s="307">
        <f t="shared" ca="1" si="363"/>
        <v>-3.5100395448244299</v>
      </c>
      <c r="L789" s="304">
        <f t="shared" ca="1" si="348"/>
        <v>839.72096745394731</v>
      </c>
      <c r="M789" s="306">
        <f t="shared" ca="1" si="364"/>
        <v>-1.5000166593646114</v>
      </c>
      <c r="N789" s="304">
        <f t="shared" ca="1" si="365"/>
        <v>-85.94462378090509</v>
      </c>
      <c r="P789" s="310">
        <f t="shared" ca="1" si="366"/>
        <v>23</v>
      </c>
      <c r="Q789" s="304">
        <f t="shared" ca="1" si="367"/>
        <v>0</v>
      </c>
      <c r="R789" s="306">
        <f t="shared" ca="1" si="368"/>
        <v>0</v>
      </c>
      <c r="S789" s="307">
        <f t="shared" ca="1" si="369"/>
        <v>2.9792999999999985</v>
      </c>
      <c r="T789" s="304">
        <f t="shared" ca="1" si="349"/>
        <v>29.226932999999988</v>
      </c>
      <c r="U789" s="311">
        <f t="shared" ca="1" si="350"/>
        <v>0</v>
      </c>
      <c r="V789" s="306">
        <f t="shared" ca="1" si="351"/>
        <v>1.2254300553198001</v>
      </c>
      <c r="W789" s="304">
        <f t="shared" ca="1" si="352"/>
        <v>27.457452945767855</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0.56938133241447986</v>
      </c>
      <c r="AH789" s="304">
        <f t="shared" ca="1" si="376"/>
        <v>-9.2160555851425858</v>
      </c>
    </row>
    <row r="790" spans="1:34" x14ac:dyDescent="0.2">
      <c r="A790" s="347">
        <f t="shared" ca="1" si="354"/>
        <v>1E-4</v>
      </c>
      <c r="B790" s="304">
        <f t="shared" ca="1" si="355"/>
        <v>37.028200000001156</v>
      </c>
      <c r="D790" s="306">
        <f t="shared" ca="1" si="356"/>
        <v>-0.65176622299512188</v>
      </c>
      <c r="E790" s="307">
        <f t="shared" ca="1" si="357"/>
        <v>-0.6170002982601801</v>
      </c>
      <c r="F790" s="304">
        <f t="shared" ca="1" si="358"/>
        <v>0.89749015453679382</v>
      </c>
      <c r="G790" s="306">
        <f t="shared" ca="1" si="359"/>
        <v>7.3976101003320096</v>
      </c>
      <c r="H790" s="307">
        <f t="shared" ca="1" si="360"/>
        <v>-104.34242283388996</v>
      </c>
      <c r="I790" s="304">
        <f t="shared" ca="1" si="361"/>
        <v>104.60432992014631</v>
      </c>
      <c r="J790" s="306">
        <f t="shared" ca="1" si="362"/>
        <v>839.7136314269211</v>
      </c>
      <c r="K790" s="307">
        <f t="shared" ca="1" si="363"/>
        <v>-3.5204737840228173</v>
      </c>
      <c r="L790" s="304">
        <f t="shared" ca="1" si="348"/>
        <v>839.7210111339665</v>
      </c>
      <c r="M790" s="306">
        <f t="shared" ca="1" si="364"/>
        <v>-1.5000173225961715</v>
      </c>
      <c r="N790" s="304">
        <f t="shared" ca="1" si="365"/>
        <v>-85.94466178127432</v>
      </c>
      <c r="P790" s="310">
        <f t="shared" ca="1" si="366"/>
        <v>23</v>
      </c>
      <c r="Q790" s="304">
        <f t="shared" ca="1" si="367"/>
        <v>0</v>
      </c>
      <c r="R790" s="306">
        <f t="shared" ca="1" si="368"/>
        <v>0</v>
      </c>
      <c r="S790" s="307">
        <f t="shared" ca="1" si="369"/>
        <v>2.9792999999999985</v>
      </c>
      <c r="T790" s="304">
        <f t="shared" ca="1" si="349"/>
        <v>29.226932999999988</v>
      </c>
      <c r="U790" s="311">
        <f t="shared" ca="1" si="350"/>
        <v>0</v>
      </c>
      <c r="V790" s="306">
        <f t="shared" ca="1" si="351"/>
        <v>1.2254313339635383</v>
      </c>
      <c r="W790" s="304">
        <f t="shared" ca="1" si="352"/>
        <v>27.457511485838534</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0.56936214332008994</v>
      </c>
      <c r="AH790" s="304">
        <f t="shared" ca="1" si="376"/>
        <v>-9.2160752343731307</v>
      </c>
    </row>
    <row r="791" spans="1:34" x14ac:dyDescent="0.2">
      <c r="A791" s="347">
        <f t="shared" ca="1" si="354"/>
        <v>1E-4</v>
      </c>
      <c r="B791" s="304">
        <f t="shared" ca="1" si="355"/>
        <v>37.02830000000116</v>
      </c>
      <c r="D791" s="306">
        <f t="shared" ca="1" si="356"/>
        <v>-0.65176151547857131</v>
      </c>
      <c r="E791" s="307">
        <f t="shared" ca="1" si="357"/>
        <v>-0.61698026625250257</v>
      </c>
      <c r="F791" s="304">
        <f t="shared" ca="1" si="358"/>
        <v>0.89747296449750114</v>
      </c>
      <c r="G791" s="306">
        <f t="shared" ca="1" si="359"/>
        <v>7.3975449241804618</v>
      </c>
      <c r="H791" s="307">
        <f t="shared" ca="1" si="360"/>
        <v>-104.34248453191658</v>
      </c>
      <c r="I791" s="304">
        <f t="shared" ca="1" si="361"/>
        <v>104.60438685446475</v>
      </c>
      <c r="J791" s="306">
        <f t="shared" ca="1" si="362"/>
        <v>839.7136314269211</v>
      </c>
      <c r="K791" s="307">
        <f t="shared" ca="1" si="363"/>
        <v>-3.5309080293911075</v>
      </c>
      <c r="L791" s="304">
        <f t="shared" ca="1" si="348"/>
        <v>839.72105494366349</v>
      </c>
      <c r="M791" s="306">
        <f t="shared" ca="1" si="364"/>
        <v>-1.5000179858211664</v>
      </c>
      <c r="N791" s="304">
        <f t="shared" ca="1" si="365"/>
        <v>-85.944699781267403</v>
      </c>
      <c r="P791" s="310">
        <f t="shared" ca="1" si="366"/>
        <v>23</v>
      </c>
      <c r="Q791" s="304">
        <f t="shared" ca="1" si="367"/>
        <v>0</v>
      </c>
      <c r="R791" s="306">
        <f t="shared" ca="1" si="368"/>
        <v>0</v>
      </c>
      <c r="S791" s="307">
        <f t="shared" ca="1" si="369"/>
        <v>2.9792999999999985</v>
      </c>
      <c r="T791" s="304">
        <f t="shared" ca="1" si="349"/>
        <v>29.226932999999988</v>
      </c>
      <c r="U791" s="311">
        <f t="shared" ca="1" si="350"/>
        <v>0</v>
      </c>
      <c r="V791" s="306">
        <f t="shared" ca="1" si="351"/>
        <v>1.2254326126093673</v>
      </c>
      <c r="W791" s="304">
        <f t="shared" ca="1" si="352"/>
        <v>27.457570025027319</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0.56934295451284633</v>
      </c>
      <c r="AH791" s="304">
        <f t="shared" ca="1" si="376"/>
        <v>-9.2160948833076723</v>
      </c>
    </row>
    <row r="792" spans="1:34" x14ac:dyDescent="0.2">
      <c r="A792" s="347">
        <f t="shared" ca="1" si="354"/>
        <v>1E-4</v>
      </c>
      <c r="B792" s="304">
        <f t="shared" ca="1" si="355"/>
        <v>37.028400000001163</v>
      </c>
      <c r="D792" s="306">
        <f t="shared" ca="1" si="356"/>
        <v>-0.65175680797515634</v>
      </c>
      <c r="E792" s="307">
        <f t="shared" ca="1" si="357"/>
        <v>-0.61696023454656945</v>
      </c>
      <c r="F792" s="304">
        <f t="shared" ca="1" si="358"/>
        <v>0.89745577481774719</v>
      </c>
      <c r="G792" s="306">
        <f t="shared" ca="1" si="359"/>
        <v>7.3974797484996646</v>
      </c>
      <c r="H792" s="307">
        <f t="shared" ca="1" si="360"/>
        <v>-104.34254622794003</v>
      </c>
      <c r="I792" s="304">
        <f t="shared" ca="1" si="361"/>
        <v>104.60444378686437</v>
      </c>
      <c r="J792" s="306">
        <f t="shared" ca="1" si="362"/>
        <v>839.7136314269211</v>
      </c>
      <c r="K792" s="307">
        <f t="shared" ca="1" si="363"/>
        <v>-3.5413422809291002</v>
      </c>
      <c r="L792" s="304">
        <f t="shared" ca="1" si="348"/>
        <v>839.72109888303851</v>
      </c>
      <c r="M792" s="306">
        <f t="shared" ca="1" si="364"/>
        <v>-1.5000186490395959</v>
      </c>
      <c r="N792" s="304">
        <f t="shared" ca="1" si="365"/>
        <v>-85.944737780884296</v>
      </c>
      <c r="P792" s="310">
        <f t="shared" ca="1" si="366"/>
        <v>23</v>
      </c>
      <c r="Q792" s="304">
        <f t="shared" ca="1" si="367"/>
        <v>0</v>
      </c>
      <c r="R792" s="306">
        <f t="shared" ca="1" si="368"/>
        <v>0</v>
      </c>
      <c r="S792" s="307">
        <f t="shared" ca="1" si="369"/>
        <v>2.9792999999999985</v>
      </c>
      <c r="T792" s="304">
        <f t="shared" ca="1" si="349"/>
        <v>29.226932999999988</v>
      </c>
      <c r="U792" s="311">
        <f t="shared" ca="1" si="350"/>
        <v>0</v>
      </c>
      <c r="V792" s="306">
        <f t="shared" ca="1" si="351"/>
        <v>1.2254338912572866</v>
      </c>
      <c r="W792" s="304">
        <f t="shared" ca="1" si="352"/>
        <v>27.457628563334239</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0.56932376599274903</v>
      </c>
      <c r="AH792" s="304">
        <f t="shared" ca="1" si="376"/>
        <v>-9.2161145319462072</v>
      </c>
    </row>
    <row r="793" spans="1:34" x14ac:dyDescent="0.2">
      <c r="A793" s="347">
        <f t="shared" ca="1" si="354"/>
        <v>1E-4</v>
      </c>
      <c r="B793" s="304">
        <f t="shared" ca="1" si="355"/>
        <v>37.028500000001166</v>
      </c>
      <c r="D793" s="306">
        <f t="shared" ca="1" si="356"/>
        <v>-0.65175210048488075</v>
      </c>
      <c r="E793" s="307">
        <f t="shared" ca="1" si="357"/>
        <v>-0.61694020314237186</v>
      </c>
      <c r="F793" s="304">
        <f t="shared" ca="1" si="358"/>
        <v>0.89743858549752875</v>
      </c>
      <c r="G793" s="306">
        <f t="shared" ca="1" si="359"/>
        <v>7.3974145732896162</v>
      </c>
      <c r="H793" s="307">
        <f t="shared" ca="1" si="360"/>
        <v>-104.34260792196035</v>
      </c>
      <c r="I793" s="304">
        <f t="shared" ca="1" si="361"/>
        <v>104.60450071734515</v>
      </c>
      <c r="J793" s="306">
        <f t="shared" ca="1" si="362"/>
        <v>839.7136314269211</v>
      </c>
      <c r="K793" s="307">
        <f t="shared" ca="1" si="363"/>
        <v>-3.5517765386365951</v>
      </c>
      <c r="L793" s="304">
        <f t="shared" ca="1" si="348"/>
        <v>839.7211429520919</v>
      </c>
      <c r="M793" s="306">
        <f t="shared" ca="1" si="364"/>
        <v>-1.5000193122514602</v>
      </c>
      <c r="N793" s="304">
        <f t="shared" ca="1" si="365"/>
        <v>-85.944775780125056</v>
      </c>
      <c r="P793" s="310">
        <f t="shared" ca="1" si="366"/>
        <v>23</v>
      </c>
      <c r="Q793" s="304">
        <f t="shared" ca="1" si="367"/>
        <v>0</v>
      </c>
      <c r="R793" s="306">
        <f t="shared" ca="1" si="368"/>
        <v>0</v>
      </c>
      <c r="S793" s="307">
        <f t="shared" ca="1" si="369"/>
        <v>2.9792999999999985</v>
      </c>
      <c r="T793" s="304">
        <f t="shared" ca="1" si="349"/>
        <v>29.226932999999988</v>
      </c>
      <c r="U793" s="311">
        <f t="shared" ca="1" si="350"/>
        <v>0</v>
      </c>
      <c r="V793" s="306">
        <f t="shared" ca="1" si="351"/>
        <v>1.2254351699072963</v>
      </c>
      <c r="W793" s="304">
        <f t="shared" ca="1" si="352"/>
        <v>27.457687100759276</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0.56930457775979093</v>
      </c>
      <c r="AH793" s="304">
        <f t="shared" ca="1" si="376"/>
        <v>-9.2161341802887442</v>
      </c>
    </row>
    <row r="794" spans="1:34" x14ac:dyDescent="0.2">
      <c r="A794" s="347">
        <f t="shared" ca="1" si="354"/>
        <v>1E-4</v>
      </c>
      <c r="B794" s="304">
        <f t="shared" ca="1" si="355"/>
        <v>37.02860000000117</v>
      </c>
      <c r="D794" s="306">
        <f t="shared" ca="1" si="356"/>
        <v>-0.65174739300774298</v>
      </c>
      <c r="E794" s="307">
        <f t="shared" ca="1" si="357"/>
        <v>-0.61692017203991867</v>
      </c>
      <c r="F794" s="304">
        <f t="shared" ca="1" si="358"/>
        <v>0.89742139653685116</v>
      </c>
      <c r="G794" s="306">
        <f t="shared" ca="1" si="359"/>
        <v>7.3973493985503156</v>
      </c>
      <c r="H794" s="307">
        <f t="shared" ca="1" si="360"/>
        <v>-104.34266961397755</v>
      </c>
      <c r="I794" s="304">
        <f t="shared" ca="1" si="361"/>
        <v>104.60455764590712</v>
      </c>
      <c r="J794" s="306">
        <f t="shared" ca="1" si="362"/>
        <v>839.7136314269211</v>
      </c>
      <c r="K794" s="307">
        <f t="shared" ca="1" si="363"/>
        <v>-3.5622108025133921</v>
      </c>
      <c r="L794" s="304">
        <f t="shared" ca="1" si="348"/>
        <v>839.72118715082377</v>
      </c>
      <c r="M794" s="306">
        <f t="shared" ca="1" si="364"/>
        <v>-1.5000199754567596</v>
      </c>
      <c r="N794" s="304">
        <f t="shared" ca="1" si="365"/>
        <v>-85.944813778989655</v>
      </c>
      <c r="P794" s="310">
        <f t="shared" ca="1" si="366"/>
        <v>23</v>
      </c>
      <c r="Q794" s="304">
        <f t="shared" ca="1" si="367"/>
        <v>0</v>
      </c>
      <c r="R794" s="306">
        <f t="shared" ca="1" si="368"/>
        <v>0</v>
      </c>
      <c r="S794" s="307">
        <f t="shared" ca="1" si="369"/>
        <v>2.9792999999999985</v>
      </c>
      <c r="T794" s="304">
        <f t="shared" ca="1" si="349"/>
        <v>29.226932999999988</v>
      </c>
      <c r="U794" s="311">
        <f t="shared" ca="1" si="350"/>
        <v>0</v>
      </c>
      <c r="V794" s="306">
        <f t="shared" ca="1" si="351"/>
        <v>1.2254364485593965</v>
      </c>
      <c r="W794" s="304">
        <f t="shared" ca="1" si="352"/>
        <v>27.457745637302459</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0.56928538981397914</v>
      </c>
      <c r="AH794" s="304">
        <f t="shared" ca="1" si="376"/>
        <v>-9.2161538283352762</v>
      </c>
    </row>
    <row r="795" spans="1:34" x14ac:dyDescent="0.2">
      <c r="A795" s="347">
        <f t="shared" ca="1" si="354"/>
        <v>1E-4</v>
      </c>
      <c r="B795" s="304">
        <f t="shared" ca="1" si="355"/>
        <v>37.028700000001173</v>
      </c>
      <c r="D795" s="306">
        <f t="shared" ca="1" si="356"/>
        <v>-0.65174268554374271</v>
      </c>
      <c r="E795" s="307">
        <f t="shared" ca="1" si="357"/>
        <v>-0.61690014123919568</v>
      </c>
      <c r="F795" s="304">
        <f t="shared" ca="1" si="358"/>
        <v>0.89740420793570475</v>
      </c>
      <c r="G795" s="306">
        <f t="shared" ca="1" si="359"/>
        <v>7.3972842242817611</v>
      </c>
      <c r="H795" s="307">
        <f t="shared" ca="1" si="360"/>
        <v>-104.34273130399167</v>
      </c>
      <c r="I795" s="304">
        <f t="shared" ca="1" si="361"/>
        <v>104.60461457255035</v>
      </c>
      <c r="J795" s="306">
        <f t="shared" ca="1" si="362"/>
        <v>839.7136314269211</v>
      </c>
      <c r="K795" s="307">
        <f t="shared" ca="1" si="363"/>
        <v>-3.5726450725592906</v>
      </c>
      <c r="L795" s="304">
        <f t="shared" ca="1" si="348"/>
        <v>839.72123147923412</v>
      </c>
      <c r="M795" s="306">
        <f t="shared" ca="1" si="364"/>
        <v>-1.500020638655494</v>
      </c>
      <c r="N795" s="304">
        <f t="shared" ca="1" si="365"/>
        <v>-85.944851777478107</v>
      </c>
      <c r="P795" s="310">
        <f t="shared" ca="1" si="366"/>
        <v>23</v>
      </c>
      <c r="Q795" s="304">
        <f t="shared" ca="1" si="367"/>
        <v>0</v>
      </c>
      <c r="R795" s="306">
        <f t="shared" ca="1" si="368"/>
        <v>0</v>
      </c>
      <c r="S795" s="307">
        <f t="shared" ca="1" si="369"/>
        <v>2.9792999999999985</v>
      </c>
      <c r="T795" s="304">
        <f t="shared" ca="1" si="349"/>
        <v>29.226932999999988</v>
      </c>
      <c r="U795" s="311">
        <f t="shared" ca="1" si="350"/>
        <v>0</v>
      </c>
      <c r="V795" s="306">
        <f t="shared" ca="1" si="351"/>
        <v>1.2254377272135872</v>
      </c>
      <c r="W795" s="304">
        <f t="shared" ca="1" si="352"/>
        <v>27.457804172963804</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0.56926620215530299</v>
      </c>
      <c r="AH795" s="304">
        <f t="shared" ca="1" si="376"/>
        <v>-9.2161734760858156</v>
      </c>
    </row>
    <row r="796" spans="1:34" x14ac:dyDescent="0.2">
      <c r="A796" s="347">
        <f t="shared" ca="1" si="354"/>
        <v>1E-4</v>
      </c>
      <c r="B796" s="304">
        <f t="shared" ca="1" si="355"/>
        <v>37.028800000001176</v>
      </c>
      <c r="D796" s="306">
        <f t="shared" ca="1" si="356"/>
        <v>-0.65173797809288148</v>
      </c>
      <c r="E796" s="307">
        <f t="shared" ca="1" si="357"/>
        <v>-0.61688011074019755</v>
      </c>
      <c r="F796" s="304">
        <f t="shared" ca="1" si="358"/>
        <v>0.89738701969408696</v>
      </c>
      <c r="G796" s="306">
        <f t="shared" ca="1" si="359"/>
        <v>7.3972190504839519</v>
      </c>
      <c r="H796" s="307">
        <f t="shared" ca="1" si="360"/>
        <v>-104.34279299200274</v>
      </c>
      <c r="I796" s="304">
        <f t="shared" ca="1" si="361"/>
        <v>104.60467149727482</v>
      </c>
      <c r="J796" s="306">
        <f t="shared" ca="1" si="362"/>
        <v>839.7136314269211</v>
      </c>
      <c r="K796" s="307">
        <f t="shared" ca="1" si="363"/>
        <v>-3.5830793487740902</v>
      </c>
      <c r="L796" s="304">
        <f t="shared" ca="1" si="348"/>
        <v>839.72127593732364</v>
      </c>
      <c r="M796" s="306">
        <f t="shared" ca="1" si="364"/>
        <v>-1.5000213018476631</v>
      </c>
      <c r="N796" s="304">
        <f t="shared" ca="1" si="365"/>
        <v>-85.944889775590411</v>
      </c>
      <c r="P796" s="310">
        <f t="shared" ca="1" si="366"/>
        <v>23</v>
      </c>
      <c r="Q796" s="304">
        <f t="shared" ca="1" si="367"/>
        <v>0</v>
      </c>
      <c r="R796" s="306">
        <f t="shared" ca="1" si="368"/>
        <v>0</v>
      </c>
      <c r="S796" s="307">
        <f t="shared" ca="1" si="369"/>
        <v>2.9792999999999985</v>
      </c>
      <c r="T796" s="304">
        <f t="shared" ca="1" si="349"/>
        <v>29.226932999999988</v>
      </c>
      <c r="U796" s="311">
        <f t="shared" ca="1" si="350"/>
        <v>0</v>
      </c>
      <c r="V796" s="306">
        <f t="shared" ca="1" si="351"/>
        <v>1.2254390058698681</v>
      </c>
      <c r="W796" s="304">
        <f t="shared" ca="1" si="352"/>
        <v>27.457862707743306</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0.56924701478375361</v>
      </c>
      <c r="AH796" s="304">
        <f t="shared" ca="1" si="376"/>
        <v>-9.2161931235403678</v>
      </c>
    </row>
    <row r="797" spans="1:34" x14ac:dyDescent="0.2">
      <c r="A797" s="347">
        <f t="shared" ca="1" si="354"/>
        <v>1E-4</v>
      </c>
      <c r="B797" s="304">
        <f t="shared" ca="1" si="355"/>
        <v>37.02890000000118</v>
      </c>
      <c r="D797" s="306">
        <f t="shared" ca="1" si="356"/>
        <v>-0.65173327065516184</v>
      </c>
      <c r="E797" s="307">
        <f t="shared" ca="1" si="357"/>
        <v>-0.61686008054292962</v>
      </c>
      <c r="F797" s="304">
        <f t="shared" ca="1" si="358"/>
        <v>0.89736983181200392</v>
      </c>
      <c r="G797" s="306">
        <f t="shared" ca="1" si="359"/>
        <v>7.3971538771568861</v>
      </c>
      <c r="H797" s="307">
        <f t="shared" ca="1" si="360"/>
        <v>-104.3428546780108</v>
      </c>
      <c r="I797" s="304">
        <f t="shared" ca="1" si="361"/>
        <v>104.60472842008059</v>
      </c>
      <c r="J797" s="306">
        <f t="shared" ca="1" si="362"/>
        <v>839.7136314269211</v>
      </c>
      <c r="K797" s="307">
        <f t="shared" ca="1" si="363"/>
        <v>-3.5935136311575908</v>
      </c>
      <c r="L797" s="304">
        <f t="shared" ca="1" si="348"/>
        <v>839.7213205250921</v>
      </c>
      <c r="M797" s="306">
        <f t="shared" ca="1" si="364"/>
        <v>-1.5000219650332678</v>
      </c>
      <c r="N797" s="304">
        <f t="shared" ca="1" si="365"/>
        <v>-85.944927773326597</v>
      </c>
      <c r="P797" s="310">
        <f t="shared" ca="1" si="366"/>
        <v>23</v>
      </c>
      <c r="Q797" s="304">
        <f t="shared" ca="1" si="367"/>
        <v>0</v>
      </c>
      <c r="R797" s="306">
        <f t="shared" ca="1" si="368"/>
        <v>0</v>
      </c>
      <c r="S797" s="307">
        <f t="shared" ca="1" si="369"/>
        <v>2.9792999999999985</v>
      </c>
      <c r="T797" s="304">
        <f t="shared" ca="1" si="349"/>
        <v>29.226932999999988</v>
      </c>
      <c r="U797" s="311">
        <f t="shared" ca="1" si="350"/>
        <v>0</v>
      </c>
      <c r="V797" s="306">
        <f t="shared" ca="1" si="351"/>
        <v>1.2254402845282395</v>
      </c>
      <c r="W797" s="304">
        <f t="shared" ca="1" si="352"/>
        <v>27.457921241640982</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0.56922782769933633</v>
      </c>
      <c r="AH797" s="304">
        <f t="shared" ca="1" si="376"/>
        <v>-9.2162127706989292</v>
      </c>
    </row>
    <row r="798" spans="1:34" x14ac:dyDescent="0.2">
      <c r="A798" s="347">
        <f t="shared" ca="1" si="354"/>
        <v>1E-4</v>
      </c>
      <c r="B798" s="304">
        <f t="shared" ca="1" si="355"/>
        <v>37.029000000001183</v>
      </c>
      <c r="D798" s="306">
        <f t="shared" ca="1" si="356"/>
        <v>-0.65172856323057948</v>
      </c>
      <c r="E798" s="307">
        <f t="shared" ca="1" si="357"/>
        <v>-0.61684005064738301</v>
      </c>
      <c r="F798" s="304">
        <f t="shared" ca="1" si="358"/>
        <v>0.89735264428944628</v>
      </c>
      <c r="G798" s="306">
        <f t="shared" ca="1" si="359"/>
        <v>7.3970887043005629</v>
      </c>
      <c r="H798" s="307">
        <f t="shared" ca="1" si="360"/>
        <v>-104.34291636201586</v>
      </c>
      <c r="I798" s="304">
        <f t="shared" ca="1" si="361"/>
        <v>104.60478534096768</v>
      </c>
      <c r="J798" s="306">
        <f t="shared" ca="1" si="362"/>
        <v>839.7136314269211</v>
      </c>
      <c r="K798" s="307">
        <f t="shared" ca="1" si="363"/>
        <v>-3.6039479197095923</v>
      </c>
      <c r="L798" s="304">
        <f t="shared" ca="1" si="348"/>
        <v>839.72136524253995</v>
      </c>
      <c r="M798" s="306">
        <f t="shared" ca="1" si="364"/>
        <v>-1.5000226282123075</v>
      </c>
      <c r="N798" s="304">
        <f t="shared" ca="1" si="365"/>
        <v>-85.944965770686622</v>
      </c>
      <c r="P798" s="310">
        <f t="shared" ca="1" si="366"/>
        <v>23</v>
      </c>
      <c r="Q798" s="304">
        <f t="shared" ca="1" si="367"/>
        <v>0</v>
      </c>
      <c r="R798" s="306">
        <f t="shared" ca="1" si="368"/>
        <v>0</v>
      </c>
      <c r="S798" s="307">
        <f t="shared" ca="1" si="369"/>
        <v>2.9792999999999985</v>
      </c>
      <c r="T798" s="304">
        <f t="shared" ca="1" si="349"/>
        <v>29.226932999999988</v>
      </c>
      <c r="U798" s="311">
        <f t="shared" ca="1" si="350"/>
        <v>0</v>
      </c>
      <c r="V798" s="306">
        <f t="shared" ca="1" si="351"/>
        <v>1.2254415631887012</v>
      </c>
      <c r="W798" s="304">
        <f t="shared" ca="1" si="352"/>
        <v>27.457979774656842</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0.56920864090204581</v>
      </c>
      <c r="AH798" s="304">
        <f t="shared" ca="1" si="376"/>
        <v>-9.2162324175615069</v>
      </c>
    </row>
    <row r="799" spans="1:34" x14ac:dyDescent="0.2">
      <c r="A799" s="347">
        <f t="shared" ca="1" si="354"/>
        <v>1E-4</v>
      </c>
      <c r="B799" s="304">
        <f t="shared" ca="1" si="355"/>
        <v>37.029100000001186</v>
      </c>
      <c r="D799" s="306">
        <f t="shared" ca="1" si="356"/>
        <v>-0.65172385581913916</v>
      </c>
      <c r="E799" s="307">
        <f t="shared" ca="1" si="357"/>
        <v>-0.61682002105355593</v>
      </c>
      <c r="F799" s="304">
        <f t="shared" ca="1" si="358"/>
        <v>0.89733545712641671</v>
      </c>
      <c r="G799" s="306">
        <f t="shared" ca="1" si="359"/>
        <v>7.3970235319149813</v>
      </c>
      <c r="H799" s="307">
        <f t="shared" ca="1" si="360"/>
        <v>-104.34297804401797</v>
      </c>
      <c r="I799" s="304">
        <f t="shared" ca="1" si="361"/>
        <v>104.60484225993613</v>
      </c>
      <c r="J799" s="306">
        <f t="shared" ca="1" si="362"/>
        <v>839.7136314269211</v>
      </c>
      <c r="K799" s="307">
        <f t="shared" ca="1" si="363"/>
        <v>-3.6143822144298938</v>
      </c>
      <c r="L799" s="304">
        <f t="shared" ca="1" si="348"/>
        <v>839.7214100896673</v>
      </c>
      <c r="M799" s="306">
        <f t="shared" ca="1" si="364"/>
        <v>-1.5000232913847826</v>
      </c>
      <c r="N799" s="304">
        <f t="shared" ca="1" si="365"/>
        <v>-85.945003767670542</v>
      </c>
      <c r="P799" s="310">
        <f t="shared" ca="1" si="366"/>
        <v>23</v>
      </c>
      <c r="Q799" s="304">
        <f t="shared" ca="1" si="367"/>
        <v>0</v>
      </c>
      <c r="R799" s="306">
        <f t="shared" ca="1" si="368"/>
        <v>0</v>
      </c>
      <c r="S799" s="307">
        <f t="shared" ca="1" si="369"/>
        <v>2.9792999999999985</v>
      </c>
      <c r="T799" s="304">
        <f t="shared" ca="1" si="349"/>
        <v>29.226932999999988</v>
      </c>
      <c r="U799" s="311">
        <f t="shared" ca="1" si="350"/>
        <v>0</v>
      </c>
      <c r="V799" s="306">
        <f t="shared" ca="1" si="351"/>
        <v>1.2254428418512533</v>
      </c>
      <c r="W799" s="304">
        <f t="shared" ca="1" si="352"/>
        <v>27.458038306790904</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0.56918945439188029</v>
      </c>
      <c r="AH799" s="304">
        <f t="shared" ca="1" si="376"/>
        <v>-9.2162520641281027</v>
      </c>
    </row>
    <row r="800" spans="1:34" x14ac:dyDescent="0.2">
      <c r="A800" s="347">
        <f t="shared" ca="1" si="354"/>
        <v>1E-4</v>
      </c>
      <c r="B800" s="304">
        <f t="shared" ca="1" si="355"/>
        <v>37.02920000000119</v>
      </c>
      <c r="D800" s="306">
        <f t="shared" ca="1" si="356"/>
        <v>-0.65171914842083867</v>
      </c>
      <c r="E800" s="307">
        <f t="shared" ca="1" si="357"/>
        <v>-0.61679999176144129</v>
      </c>
      <c r="F800" s="304">
        <f t="shared" ca="1" si="358"/>
        <v>0.89731827032290901</v>
      </c>
      <c r="G800" s="306">
        <f t="shared" ca="1" si="359"/>
        <v>7.3969583600001396</v>
      </c>
      <c r="H800" s="307">
        <f t="shared" ca="1" si="360"/>
        <v>-104.34303972401715</v>
      </c>
      <c r="I800" s="304">
        <f t="shared" ca="1" si="361"/>
        <v>104.60489917698595</v>
      </c>
      <c r="J800" s="306">
        <f t="shared" ca="1" si="362"/>
        <v>839.7136314269211</v>
      </c>
      <c r="K800" s="307">
        <f t="shared" ca="1" si="363"/>
        <v>-3.6248165153182956</v>
      </c>
      <c r="L800" s="304">
        <f t="shared" ca="1" si="348"/>
        <v>839.72145506647428</v>
      </c>
      <c r="M800" s="306">
        <f t="shared" ca="1" si="364"/>
        <v>-1.5000239545506933</v>
      </c>
      <c r="N800" s="304">
        <f t="shared" ca="1" si="365"/>
        <v>-85.945041764278344</v>
      </c>
      <c r="P800" s="310">
        <f t="shared" ca="1" si="366"/>
        <v>23</v>
      </c>
      <c r="Q800" s="304">
        <f t="shared" ca="1" si="367"/>
        <v>0</v>
      </c>
      <c r="R800" s="306">
        <f t="shared" ca="1" si="368"/>
        <v>0</v>
      </c>
      <c r="S800" s="307">
        <f t="shared" ca="1" si="369"/>
        <v>2.9792999999999985</v>
      </c>
      <c r="T800" s="304">
        <f t="shared" ca="1" si="349"/>
        <v>29.226932999999988</v>
      </c>
      <c r="U800" s="311">
        <f t="shared" ca="1" si="350"/>
        <v>0</v>
      </c>
      <c r="V800" s="306">
        <f t="shared" ca="1" si="351"/>
        <v>1.2254441205158959</v>
      </c>
      <c r="W800" s="304">
        <f t="shared" ca="1" si="352"/>
        <v>27.458096838043168</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0.56917026816883087</v>
      </c>
      <c r="AH800" s="304">
        <f t="shared" ca="1" si="376"/>
        <v>-9.2162717103987237</v>
      </c>
    </row>
    <row r="801" spans="1:34" x14ac:dyDescent="0.2">
      <c r="A801" s="347">
        <f t="shared" ca="1" si="354"/>
        <v>1E-4</v>
      </c>
      <c r="B801" s="304">
        <f t="shared" ca="1" si="355"/>
        <v>37.029300000001193</v>
      </c>
      <c r="D801" s="306">
        <f t="shared" ca="1" si="356"/>
        <v>-0.65171444103567877</v>
      </c>
      <c r="E801" s="307">
        <f t="shared" ca="1" si="357"/>
        <v>-0.61677996277104086</v>
      </c>
      <c r="F801" s="304">
        <f t="shared" ca="1" si="358"/>
        <v>0.89730108387892515</v>
      </c>
      <c r="G801" s="306">
        <f t="shared" ca="1" si="359"/>
        <v>7.3968931885560361</v>
      </c>
      <c r="H801" s="307">
        <f t="shared" ca="1" si="360"/>
        <v>-104.34310140201342</v>
      </c>
      <c r="I801" s="304">
        <f t="shared" ca="1" si="361"/>
        <v>104.60495609211718</v>
      </c>
      <c r="J801" s="306">
        <f t="shared" ca="1" si="362"/>
        <v>839.7136314269211</v>
      </c>
      <c r="K801" s="307">
        <f t="shared" ca="1" si="363"/>
        <v>-3.635250822374597</v>
      </c>
      <c r="L801" s="304">
        <f t="shared" ca="1" si="348"/>
        <v>839.72150017296133</v>
      </c>
      <c r="M801" s="306">
        <f t="shared" ca="1" si="364"/>
        <v>-1.5000246177100391</v>
      </c>
      <c r="N801" s="304">
        <f t="shared" ca="1" si="365"/>
        <v>-85.945079760509998</v>
      </c>
      <c r="P801" s="310">
        <f t="shared" ca="1" si="366"/>
        <v>23</v>
      </c>
      <c r="Q801" s="304">
        <f t="shared" ca="1" si="367"/>
        <v>0</v>
      </c>
      <c r="R801" s="306">
        <f t="shared" ca="1" si="368"/>
        <v>0</v>
      </c>
      <c r="S801" s="307">
        <f t="shared" ca="1" si="369"/>
        <v>2.9792999999999985</v>
      </c>
      <c r="T801" s="304">
        <f t="shared" ca="1" si="349"/>
        <v>29.226932999999988</v>
      </c>
      <c r="U801" s="311">
        <f t="shared" ca="1" si="350"/>
        <v>0</v>
      </c>
      <c r="V801" s="306">
        <f t="shared" ca="1" si="351"/>
        <v>1.2254453991826282</v>
      </c>
      <c r="W801" s="304">
        <f t="shared" ca="1" si="352"/>
        <v>27.458155368413635</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0.56915108223289756</v>
      </c>
      <c r="AH801" s="304">
        <f t="shared" ca="1" si="376"/>
        <v>-9.2162913563733699</v>
      </c>
    </row>
    <row r="802" spans="1:34" x14ac:dyDescent="0.2">
      <c r="A802" s="347">
        <f t="shared" ca="1" si="354"/>
        <v>1E-4</v>
      </c>
      <c r="B802" s="304">
        <f t="shared" ca="1" si="355"/>
        <v>37.029400000001196</v>
      </c>
      <c r="D802" s="306">
        <f t="shared" ca="1" si="356"/>
        <v>-0.65170973366366258</v>
      </c>
      <c r="E802" s="307">
        <f t="shared" ca="1" si="357"/>
        <v>-0.61675993408235108</v>
      </c>
      <c r="F802" s="304">
        <f t="shared" ca="1" si="358"/>
        <v>0.89728389779446505</v>
      </c>
      <c r="G802" s="306">
        <f t="shared" ca="1" si="359"/>
        <v>7.3968280175826697</v>
      </c>
      <c r="H802" s="307">
        <f t="shared" ca="1" si="360"/>
        <v>-104.34316307800682</v>
      </c>
      <c r="I802" s="304">
        <f t="shared" ca="1" si="361"/>
        <v>104.60501300532982</v>
      </c>
      <c r="J802" s="306">
        <f t="shared" ca="1" si="362"/>
        <v>839.7136314269211</v>
      </c>
      <c r="K802" s="307">
        <f t="shared" ca="1" si="363"/>
        <v>-3.645685135598598</v>
      </c>
      <c r="L802" s="304">
        <f t="shared" ca="1" si="348"/>
        <v>839.72154540912845</v>
      </c>
      <c r="M802" s="306">
        <f t="shared" ca="1" si="364"/>
        <v>-1.5000252808628207</v>
      </c>
      <c r="N802" s="304">
        <f t="shared" ca="1" si="365"/>
        <v>-85.945117756365562</v>
      </c>
      <c r="P802" s="310">
        <f t="shared" ca="1" si="366"/>
        <v>23</v>
      </c>
      <c r="Q802" s="304">
        <f t="shared" ca="1" si="367"/>
        <v>0</v>
      </c>
      <c r="R802" s="306">
        <f t="shared" ca="1" si="368"/>
        <v>0</v>
      </c>
      <c r="S802" s="307">
        <f t="shared" ca="1" si="369"/>
        <v>2.9792999999999985</v>
      </c>
      <c r="T802" s="304">
        <f t="shared" ca="1" si="349"/>
        <v>29.226932999999988</v>
      </c>
      <c r="U802" s="311">
        <f t="shared" ca="1" si="350"/>
        <v>0</v>
      </c>
      <c r="V802" s="306">
        <f t="shared" ca="1" si="351"/>
        <v>1.225446677851451</v>
      </c>
      <c r="W802" s="304">
        <f t="shared" ca="1" si="352"/>
        <v>27.458213897902315</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0.56913189658408392</v>
      </c>
      <c r="AH802" s="304">
        <f t="shared" ca="1" si="376"/>
        <v>-9.2163110020520413</v>
      </c>
    </row>
    <row r="803" spans="1:34" x14ac:dyDescent="0.2">
      <c r="A803" s="347">
        <f t="shared" ca="1" si="354"/>
        <v>1E-4</v>
      </c>
      <c r="B803" s="304">
        <f t="shared" ca="1" si="355"/>
        <v>37.0295000000012</v>
      </c>
      <c r="D803" s="306">
        <f t="shared" ca="1" si="356"/>
        <v>-0.65170502630478733</v>
      </c>
      <c r="E803" s="307">
        <f t="shared" ca="1" si="357"/>
        <v>-0.61673990569537018</v>
      </c>
      <c r="F803" s="304">
        <f t="shared" ca="1" si="358"/>
        <v>0.89726671206952602</v>
      </c>
      <c r="G803" s="306">
        <f t="shared" ca="1" si="359"/>
        <v>7.3967628470800388</v>
      </c>
      <c r="H803" s="307">
        <f t="shared" ca="1" si="360"/>
        <v>-104.3432247519974</v>
      </c>
      <c r="I803" s="304">
        <f t="shared" ca="1" si="361"/>
        <v>104.60506991662395</v>
      </c>
      <c r="J803" s="306">
        <f t="shared" ca="1" si="362"/>
        <v>839.7136314269211</v>
      </c>
      <c r="K803" s="307">
        <f t="shared" ca="1" si="363"/>
        <v>-3.6561194549900984</v>
      </c>
      <c r="L803" s="304">
        <f t="shared" ca="1" si="348"/>
        <v>839.72159077497599</v>
      </c>
      <c r="M803" s="306">
        <f t="shared" ca="1" si="364"/>
        <v>-1.5000259440090378</v>
      </c>
      <c r="N803" s="304">
        <f t="shared" ca="1" si="365"/>
        <v>-85.945155751844993</v>
      </c>
      <c r="P803" s="310">
        <f t="shared" ca="1" si="366"/>
        <v>23</v>
      </c>
      <c r="Q803" s="304">
        <f t="shared" ca="1" si="367"/>
        <v>0</v>
      </c>
      <c r="R803" s="306">
        <f t="shared" ca="1" si="368"/>
        <v>0</v>
      </c>
      <c r="S803" s="307">
        <f t="shared" ca="1" si="369"/>
        <v>2.9792999999999985</v>
      </c>
      <c r="T803" s="304">
        <f t="shared" ca="1" si="349"/>
        <v>29.226932999999988</v>
      </c>
      <c r="U803" s="311">
        <f t="shared" ca="1" si="350"/>
        <v>0</v>
      </c>
      <c r="V803" s="306">
        <f t="shared" ca="1" si="351"/>
        <v>1.2254479565223644</v>
      </c>
      <c r="W803" s="304">
        <f t="shared" ca="1" si="352"/>
        <v>27.45827242650925</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0.56911271122238283</v>
      </c>
      <c r="AH803" s="304">
        <f t="shared" ca="1" si="376"/>
        <v>-9.2163306474347433</v>
      </c>
    </row>
    <row r="804" spans="1:34" x14ac:dyDescent="0.2">
      <c r="A804" s="347">
        <f t="shared" ca="1" si="354"/>
        <v>1E-4</v>
      </c>
      <c r="B804" s="304">
        <f t="shared" ca="1" si="355"/>
        <v>37.029600000001203</v>
      </c>
      <c r="D804" s="306">
        <f t="shared" ca="1" si="356"/>
        <v>-0.65170031895905678</v>
      </c>
      <c r="E804" s="307">
        <f t="shared" ca="1" si="357"/>
        <v>-0.61671987761008396</v>
      </c>
      <c r="F804" s="304">
        <f t="shared" ca="1" si="358"/>
        <v>0.89724952670410107</v>
      </c>
      <c r="G804" s="306">
        <f t="shared" ca="1" si="359"/>
        <v>7.3966976770481425</v>
      </c>
      <c r="H804" s="307">
        <f t="shared" ca="1" si="360"/>
        <v>-104.34328642398516</v>
      </c>
      <c r="I804" s="304">
        <f t="shared" ca="1" si="361"/>
        <v>104.60512682599958</v>
      </c>
      <c r="J804" s="306">
        <f t="shared" ca="1" si="362"/>
        <v>839.7136314269211</v>
      </c>
      <c r="K804" s="307">
        <f t="shared" ca="1" si="363"/>
        <v>-3.6665537805488975</v>
      </c>
      <c r="L804" s="304">
        <f t="shared" ca="1" si="348"/>
        <v>839.72163627050406</v>
      </c>
      <c r="M804" s="306">
        <f t="shared" ca="1" si="364"/>
        <v>-1.5000266071486907</v>
      </c>
      <c r="N804" s="304">
        <f t="shared" ca="1" si="365"/>
        <v>-85.945193746948334</v>
      </c>
      <c r="P804" s="310">
        <f t="shared" ca="1" si="366"/>
        <v>23</v>
      </c>
      <c r="Q804" s="304">
        <f t="shared" ca="1" si="367"/>
        <v>0</v>
      </c>
      <c r="R804" s="306">
        <f t="shared" ca="1" si="368"/>
        <v>0</v>
      </c>
      <c r="S804" s="307">
        <f t="shared" ca="1" si="369"/>
        <v>2.9792999999999985</v>
      </c>
      <c r="T804" s="304">
        <f t="shared" ca="1" si="349"/>
        <v>29.226932999999988</v>
      </c>
      <c r="U804" s="311">
        <f t="shared" ca="1" si="350"/>
        <v>0</v>
      </c>
      <c r="V804" s="306">
        <f t="shared" ca="1" si="351"/>
        <v>1.2254492351953676</v>
      </c>
      <c r="W804" s="304">
        <f t="shared" ca="1" si="352"/>
        <v>27.458330954234437</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0.56909352614778363</v>
      </c>
      <c r="AH804" s="304">
        <f t="shared" ca="1" si="376"/>
        <v>-9.2163502925214864</v>
      </c>
    </row>
    <row r="805" spans="1:34" x14ac:dyDescent="0.2">
      <c r="A805" s="347">
        <f t="shared" ca="1" si="354"/>
        <v>1E-4</v>
      </c>
      <c r="B805" s="304">
        <f t="shared" ca="1" si="355"/>
        <v>37.029700000001206</v>
      </c>
      <c r="D805" s="306">
        <f t="shared" ca="1" si="356"/>
        <v>-0.65169561162646805</v>
      </c>
      <c r="E805" s="307">
        <f t="shared" ca="1" si="357"/>
        <v>-0.61669984982649417</v>
      </c>
      <c r="F805" s="304">
        <f t="shared" ca="1" si="358"/>
        <v>0.89723234169818955</v>
      </c>
      <c r="G805" s="306">
        <f t="shared" ca="1" si="359"/>
        <v>7.3966325074869799</v>
      </c>
      <c r="H805" s="307">
        <f t="shared" ca="1" si="360"/>
        <v>-104.34334809397015</v>
      </c>
      <c r="I805" s="304">
        <f t="shared" ca="1" si="361"/>
        <v>104.60518373345671</v>
      </c>
      <c r="J805" s="306">
        <f t="shared" ca="1" si="362"/>
        <v>839.7136314269211</v>
      </c>
      <c r="K805" s="307">
        <f t="shared" ca="1" si="363"/>
        <v>-3.6769881122747954</v>
      </c>
      <c r="L805" s="304">
        <f t="shared" ca="1" si="348"/>
        <v>839.72168189571289</v>
      </c>
      <c r="M805" s="306">
        <f t="shared" ca="1" si="364"/>
        <v>-1.5000272702817794</v>
      </c>
      <c r="N805" s="304">
        <f t="shared" ca="1" si="365"/>
        <v>-85.94523174167557</v>
      </c>
      <c r="P805" s="310">
        <f t="shared" ca="1" si="366"/>
        <v>23</v>
      </c>
      <c r="Q805" s="304">
        <f t="shared" ca="1" si="367"/>
        <v>0</v>
      </c>
      <c r="R805" s="306">
        <f t="shared" ca="1" si="368"/>
        <v>0</v>
      </c>
      <c r="S805" s="307">
        <f t="shared" ca="1" si="369"/>
        <v>2.9792999999999985</v>
      </c>
      <c r="T805" s="304">
        <f t="shared" ca="1" si="349"/>
        <v>29.226932999999988</v>
      </c>
      <c r="U805" s="311">
        <f t="shared" ca="1" si="350"/>
        <v>0</v>
      </c>
      <c r="V805" s="306">
        <f t="shared" ca="1" si="351"/>
        <v>1.225450513870461</v>
      </c>
      <c r="W805" s="304">
        <f t="shared" ca="1" si="352"/>
        <v>27.458389481077855</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0.56907434136028101</v>
      </c>
      <c r="AH805" s="304">
        <f t="shared" ca="1" si="376"/>
        <v>-9.2163699373122725</v>
      </c>
    </row>
    <row r="806" spans="1:34" x14ac:dyDescent="0.2">
      <c r="A806" s="347">
        <f t="shared" ca="1" si="354"/>
        <v>1E-4</v>
      </c>
      <c r="B806" s="304">
        <f t="shared" ca="1" si="355"/>
        <v>37.02980000000121</v>
      </c>
      <c r="D806" s="306">
        <f t="shared" ca="1" si="356"/>
        <v>-0.65169090430702348</v>
      </c>
      <c r="E806" s="307">
        <f t="shared" ca="1" si="357"/>
        <v>-0.61667982234460617</v>
      </c>
      <c r="F806" s="304">
        <f t="shared" ca="1" si="358"/>
        <v>0.89721515705179722</v>
      </c>
      <c r="G806" s="306">
        <f t="shared" ca="1" si="359"/>
        <v>7.3965673383965491</v>
      </c>
      <c r="H806" s="307">
        <f t="shared" ca="1" si="360"/>
        <v>-104.34340976195239</v>
      </c>
      <c r="I806" s="304">
        <f t="shared" ca="1" si="361"/>
        <v>104.6052406389954</v>
      </c>
      <c r="J806" s="306">
        <f t="shared" ca="1" si="362"/>
        <v>839.7136314269211</v>
      </c>
      <c r="K806" s="307">
        <f t="shared" ca="1" si="363"/>
        <v>-3.6874224501675914</v>
      </c>
      <c r="L806" s="304">
        <f t="shared" ca="1" si="348"/>
        <v>839.72172765060282</v>
      </c>
      <c r="M806" s="306">
        <f t="shared" ca="1" si="364"/>
        <v>-1.500027933408304</v>
      </c>
      <c r="N806" s="304">
        <f t="shared" ca="1" si="365"/>
        <v>-85.945269736026717</v>
      </c>
      <c r="P806" s="310">
        <f t="shared" ca="1" si="366"/>
        <v>23</v>
      </c>
      <c r="Q806" s="304">
        <f t="shared" ca="1" si="367"/>
        <v>0</v>
      </c>
      <c r="R806" s="306">
        <f t="shared" ca="1" si="368"/>
        <v>0</v>
      </c>
      <c r="S806" s="307">
        <f t="shared" ca="1" si="369"/>
        <v>2.9792999999999985</v>
      </c>
      <c r="T806" s="304">
        <f t="shared" ca="1" si="349"/>
        <v>29.226932999999988</v>
      </c>
      <c r="U806" s="311">
        <f t="shared" ca="1" si="350"/>
        <v>0</v>
      </c>
      <c r="V806" s="306">
        <f t="shared" ca="1" si="351"/>
        <v>1.2254517925476445</v>
      </c>
      <c r="W806" s="304">
        <f t="shared" ca="1" si="352"/>
        <v>27.458448007039539</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0.56905515685989094</v>
      </c>
      <c r="AH806" s="304">
        <f t="shared" ca="1" si="376"/>
        <v>-9.2163895818070927</v>
      </c>
    </row>
    <row r="807" spans="1:34" x14ac:dyDescent="0.2">
      <c r="A807" s="347">
        <f t="shared" ca="1" si="354"/>
        <v>1E-4</v>
      </c>
      <c r="B807" s="304">
        <f t="shared" ca="1" si="355"/>
        <v>37.029900000001213</v>
      </c>
      <c r="D807" s="306">
        <f t="shared" ca="1" si="356"/>
        <v>-0.65168619700072283</v>
      </c>
      <c r="E807" s="307">
        <f t="shared" ca="1" si="357"/>
        <v>-0.61665979516440927</v>
      </c>
      <c r="F807" s="304">
        <f t="shared" ca="1" si="358"/>
        <v>0.89719797276491675</v>
      </c>
      <c r="G807" s="306">
        <f t="shared" ca="1" si="359"/>
        <v>7.3965021697768494</v>
      </c>
      <c r="H807" s="307">
        <f t="shared" ca="1" si="360"/>
        <v>-104.3434714279319</v>
      </c>
      <c r="I807" s="304">
        <f t="shared" ca="1" si="361"/>
        <v>104.60529754261566</v>
      </c>
      <c r="J807" s="306">
        <f t="shared" ca="1" si="362"/>
        <v>839.7136314269211</v>
      </c>
      <c r="K807" s="307">
        <f t="shared" ca="1" si="363"/>
        <v>-3.6978567942270857</v>
      </c>
      <c r="L807" s="304">
        <f t="shared" ca="1" si="348"/>
        <v>839.72177353517384</v>
      </c>
      <c r="M807" s="306">
        <f t="shared" ca="1" si="364"/>
        <v>-1.5000285965282647</v>
      </c>
      <c r="N807" s="304">
        <f t="shared" ca="1" si="365"/>
        <v>-85.945307730001772</v>
      </c>
      <c r="P807" s="310">
        <f t="shared" ca="1" si="366"/>
        <v>23</v>
      </c>
      <c r="Q807" s="304">
        <f t="shared" ca="1" si="367"/>
        <v>0</v>
      </c>
      <c r="R807" s="306">
        <f t="shared" ca="1" si="368"/>
        <v>0</v>
      </c>
      <c r="S807" s="307">
        <f t="shared" ca="1" si="369"/>
        <v>2.9792999999999985</v>
      </c>
      <c r="T807" s="304">
        <f t="shared" ca="1" si="349"/>
        <v>29.226932999999988</v>
      </c>
      <c r="U807" s="311">
        <f t="shared" ca="1" si="350"/>
        <v>0</v>
      </c>
      <c r="V807" s="306">
        <f t="shared" ca="1" si="351"/>
        <v>1.2254530712269187</v>
      </c>
      <c r="W807" s="304">
        <f t="shared" ca="1" si="352"/>
        <v>27.458506532119515</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0.56903597264659922</v>
      </c>
      <c r="AH807" s="304">
        <f t="shared" ca="1" si="376"/>
        <v>-9.2164092260059594</v>
      </c>
    </row>
    <row r="808" spans="1:34" x14ac:dyDescent="0.2">
      <c r="A808" s="347">
        <f t="shared" ca="1" si="354"/>
        <v>1E-4</v>
      </c>
      <c r="B808" s="304">
        <f t="shared" ca="1" si="355"/>
        <v>37.030000000001216</v>
      </c>
      <c r="D808" s="306">
        <f t="shared" ca="1" si="356"/>
        <v>-0.65168148970756579</v>
      </c>
      <c r="E808" s="307">
        <f t="shared" ca="1" si="357"/>
        <v>-0.61663976828589462</v>
      </c>
      <c r="F808" s="304">
        <f t="shared" ca="1" si="358"/>
        <v>0.89718078883754193</v>
      </c>
      <c r="G808" s="306">
        <f t="shared" ca="1" si="359"/>
        <v>7.3964370016278789</v>
      </c>
      <c r="H808" s="307">
        <f t="shared" ca="1" si="360"/>
        <v>-104.34353309190872</v>
      </c>
      <c r="I808" s="304">
        <f t="shared" ca="1" si="361"/>
        <v>104.60535444431753</v>
      </c>
      <c r="J808" s="306">
        <f t="shared" ca="1" si="362"/>
        <v>839.7136314269211</v>
      </c>
      <c r="K808" s="307">
        <f t="shared" ca="1" si="363"/>
        <v>-3.7082911444530775</v>
      </c>
      <c r="L808" s="304">
        <f t="shared" ca="1" si="348"/>
        <v>839.72181954942619</v>
      </c>
      <c r="M808" s="306">
        <f t="shared" ca="1" si="364"/>
        <v>-1.5000292596416611</v>
      </c>
      <c r="N808" s="304">
        <f t="shared" ca="1" si="365"/>
        <v>-85.945345723600738</v>
      </c>
      <c r="P808" s="310">
        <f t="shared" ca="1" si="366"/>
        <v>23</v>
      </c>
      <c r="Q808" s="304">
        <f t="shared" ca="1" si="367"/>
        <v>0</v>
      </c>
      <c r="R808" s="306">
        <f t="shared" ca="1" si="368"/>
        <v>0</v>
      </c>
      <c r="S808" s="307">
        <f t="shared" ca="1" si="369"/>
        <v>2.9792999999999985</v>
      </c>
      <c r="T808" s="304">
        <f t="shared" ca="1" si="349"/>
        <v>29.226932999999988</v>
      </c>
      <c r="U808" s="311">
        <f t="shared" ca="1" si="350"/>
        <v>0</v>
      </c>
      <c r="V808" s="306">
        <f t="shared" ca="1" si="351"/>
        <v>1.2254543499082826</v>
      </c>
      <c r="W808" s="304">
        <f t="shared" ca="1" si="352"/>
        <v>27.458565056317752</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0.56901678872039341</v>
      </c>
      <c r="AH808" s="304">
        <f t="shared" ca="1" si="376"/>
        <v>-9.2164288699088814</v>
      </c>
    </row>
    <row r="809" spans="1:34" x14ac:dyDescent="0.2">
      <c r="A809" s="347">
        <f t="shared" ca="1" si="354"/>
        <v>1E-4</v>
      </c>
      <c r="B809" s="304">
        <f t="shared" ca="1" si="355"/>
        <v>37.030100000001219</v>
      </c>
      <c r="D809" s="306">
        <f t="shared" ca="1" si="356"/>
        <v>-0.65167678242755656</v>
      </c>
      <c r="E809" s="307">
        <f t="shared" ca="1" si="357"/>
        <v>-0.61661974170907285</v>
      </c>
      <c r="F809" s="304">
        <f t="shared" ca="1" si="358"/>
        <v>0.89716360526968353</v>
      </c>
      <c r="G809" s="306">
        <f t="shared" ca="1" si="359"/>
        <v>7.3963718339496358</v>
      </c>
      <c r="H809" s="307">
        <f t="shared" ca="1" si="360"/>
        <v>-104.3435947538829</v>
      </c>
      <c r="I809" s="304">
        <f t="shared" ca="1" si="361"/>
        <v>104.60541134410103</v>
      </c>
      <c r="J809" s="306">
        <f t="shared" ca="1" si="362"/>
        <v>839.7136314269211</v>
      </c>
      <c r="K809" s="307">
        <f t="shared" ca="1" si="363"/>
        <v>-3.718725500845367</v>
      </c>
      <c r="L809" s="304">
        <f t="shared" ca="1" si="348"/>
        <v>839.7218656933602</v>
      </c>
      <c r="M809" s="306">
        <f t="shared" ca="1" si="364"/>
        <v>-1.5000299227484939</v>
      </c>
      <c r="N809" s="304">
        <f t="shared" ca="1" si="365"/>
        <v>-85.945383716823613</v>
      </c>
      <c r="P809" s="310">
        <f t="shared" ca="1" si="366"/>
        <v>23</v>
      </c>
      <c r="Q809" s="304">
        <f t="shared" ca="1" si="367"/>
        <v>0</v>
      </c>
      <c r="R809" s="306">
        <f t="shared" ca="1" si="368"/>
        <v>0</v>
      </c>
      <c r="S809" s="307">
        <f t="shared" ca="1" si="369"/>
        <v>2.9792999999999985</v>
      </c>
      <c r="T809" s="304">
        <f t="shared" ca="1" si="349"/>
        <v>29.226932999999988</v>
      </c>
      <c r="U809" s="311">
        <f t="shared" ca="1" si="350"/>
        <v>0</v>
      </c>
      <c r="V809" s="306">
        <f t="shared" ca="1" si="351"/>
        <v>1.2254556285917368</v>
      </c>
      <c r="W809" s="304">
        <f t="shared" ca="1" si="352"/>
        <v>27.458623579634295</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0.56899760508128772</v>
      </c>
      <c r="AH809" s="304">
        <f t="shared" ca="1" si="376"/>
        <v>-9.2164485135158483</v>
      </c>
    </row>
    <row r="810" spans="1:34" x14ac:dyDescent="0.2">
      <c r="A810" s="347">
        <f t="shared" ca="1" si="354"/>
        <v>1E-4</v>
      </c>
      <c r="B810" s="304">
        <f t="shared" ca="1" si="355"/>
        <v>37.030200000001223</v>
      </c>
      <c r="D810" s="306">
        <f t="shared" ca="1" si="356"/>
        <v>-0.65167207516069126</v>
      </c>
      <c r="E810" s="307">
        <f t="shared" ca="1" si="357"/>
        <v>-0.616599715433928</v>
      </c>
      <c r="F810" s="304">
        <f t="shared" ca="1" si="358"/>
        <v>0.897146422061328</v>
      </c>
      <c r="G810" s="306">
        <f t="shared" ca="1" si="359"/>
        <v>7.3963066667421193</v>
      </c>
      <c r="H810" s="307">
        <f t="shared" ca="1" si="360"/>
        <v>-104.34365641385445</v>
      </c>
      <c r="I810" s="304">
        <f t="shared" ca="1" si="361"/>
        <v>104.60546824196621</v>
      </c>
      <c r="J810" s="306">
        <f t="shared" ca="1" si="362"/>
        <v>839.7136314269211</v>
      </c>
      <c r="K810" s="307">
        <f t="shared" ca="1" si="363"/>
        <v>-3.7291598634037539</v>
      </c>
      <c r="L810" s="304">
        <f t="shared" ca="1" si="348"/>
        <v>839.72191196697611</v>
      </c>
      <c r="M810" s="306">
        <f t="shared" ca="1" si="364"/>
        <v>-1.5000305858487628</v>
      </c>
      <c r="N810" s="304">
        <f t="shared" ca="1" si="365"/>
        <v>-85.945421709670413</v>
      </c>
      <c r="P810" s="310">
        <f t="shared" ca="1" si="366"/>
        <v>23</v>
      </c>
      <c r="Q810" s="304">
        <f t="shared" ca="1" si="367"/>
        <v>0</v>
      </c>
      <c r="R810" s="306">
        <f t="shared" ca="1" si="368"/>
        <v>0</v>
      </c>
      <c r="S810" s="307">
        <f t="shared" ca="1" si="369"/>
        <v>2.9792999999999985</v>
      </c>
      <c r="T810" s="304">
        <f t="shared" ca="1" si="349"/>
        <v>29.226932999999988</v>
      </c>
      <c r="U810" s="311">
        <f t="shared" ca="1" si="350"/>
        <v>0</v>
      </c>
      <c r="V810" s="306">
        <f t="shared" ca="1" si="351"/>
        <v>1.2254569072772812</v>
      </c>
      <c r="W810" s="304">
        <f t="shared" ca="1" si="352"/>
        <v>27.45868210206914</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0.56897842172926616</v>
      </c>
      <c r="AH810" s="304">
        <f t="shared" ca="1" si="376"/>
        <v>-9.2164681568268758</v>
      </c>
    </row>
    <row r="811" spans="1:34" x14ac:dyDescent="0.2">
      <c r="A811" s="347">
        <f t="shared" ca="1" si="354"/>
        <v>1E-4</v>
      </c>
      <c r="B811" s="304">
        <f t="shared" ca="1" si="355"/>
        <v>37.030300000001226</v>
      </c>
      <c r="D811" s="306">
        <f t="shared" ca="1" si="356"/>
        <v>-0.65166736790697255</v>
      </c>
      <c r="E811" s="307">
        <f t="shared" ca="1" si="357"/>
        <v>-0.61657968946046182</v>
      </c>
      <c r="F811" s="304">
        <f t="shared" ca="1" si="358"/>
        <v>0.89712923921247878</v>
      </c>
      <c r="G811" s="306">
        <f t="shared" ca="1" si="359"/>
        <v>7.3962415000053285</v>
      </c>
      <c r="H811" s="307">
        <f t="shared" ca="1" si="360"/>
        <v>-104.34371807182339</v>
      </c>
      <c r="I811" s="304">
        <f t="shared" ca="1" si="361"/>
        <v>104.60552513791308</v>
      </c>
      <c r="J811" s="306">
        <f t="shared" ca="1" si="362"/>
        <v>839.7136314269211</v>
      </c>
      <c r="K811" s="307">
        <f t="shared" ca="1" si="363"/>
        <v>-3.739594232128038</v>
      </c>
      <c r="L811" s="304">
        <f t="shared" ca="1" si="348"/>
        <v>839.72195837027391</v>
      </c>
      <c r="M811" s="306">
        <f t="shared" ca="1" si="364"/>
        <v>-1.5000312489424681</v>
      </c>
      <c r="N811" s="304">
        <f t="shared" ca="1" si="365"/>
        <v>-85.94545970214115</v>
      </c>
      <c r="P811" s="310">
        <f t="shared" ca="1" si="366"/>
        <v>23</v>
      </c>
      <c r="Q811" s="304">
        <f t="shared" ca="1" si="367"/>
        <v>0</v>
      </c>
      <c r="R811" s="306">
        <f t="shared" ca="1" si="368"/>
        <v>0</v>
      </c>
      <c r="S811" s="307">
        <f t="shared" ca="1" si="369"/>
        <v>2.9792999999999985</v>
      </c>
      <c r="T811" s="304">
        <f t="shared" ca="1" si="349"/>
        <v>29.226932999999988</v>
      </c>
      <c r="U811" s="311">
        <f t="shared" ca="1" si="350"/>
        <v>0</v>
      </c>
      <c r="V811" s="306">
        <f t="shared" ca="1" si="351"/>
        <v>1.2254581859649154</v>
      </c>
      <c r="W811" s="304">
        <f t="shared" ca="1" si="352"/>
        <v>27.458740623622298</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0.56895923866433051</v>
      </c>
      <c r="AH811" s="304">
        <f t="shared" ca="1" si="376"/>
        <v>-9.2164877998419605</v>
      </c>
    </row>
    <row r="812" spans="1:34" x14ac:dyDescent="0.2">
      <c r="A812" s="347">
        <f t="shared" ca="1" si="354"/>
        <v>1E-4</v>
      </c>
      <c r="B812" s="304">
        <f t="shared" ca="1" si="355"/>
        <v>37.030400000001229</v>
      </c>
      <c r="D812" s="306">
        <f t="shared" ca="1" si="356"/>
        <v>-0.65166266066639977</v>
      </c>
      <c r="E812" s="307">
        <f t="shared" ca="1" si="357"/>
        <v>-0.616559663788669</v>
      </c>
      <c r="F812" s="304">
        <f t="shared" ca="1" si="358"/>
        <v>0.89711205672313188</v>
      </c>
      <c r="G812" s="306">
        <f t="shared" ca="1" si="359"/>
        <v>7.3961763337392616</v>
      </c>
      <c r="H812" s="307">
        <f t="shared" ca="1" si="360"/>
        <v>-104.34377972778977</v>
      </c>
      <c r="I812" s="304">
        <f t="shared" ca="1" si="361"/>
        <v>104.60558203194165</v>
      </c>
      <c r="J812" s="306">
        <f t="shared" ca="1" si="362"/>
        <v>839.7136314269211</v>
      </c>
      <c r="K812" s="307">
        <f t="shared" ca="1" si="363"/>
        <v>-3.7500286070180184</v>
      </c>
      <c r="L812" s="304">
        <f t="shared" ca="1" si="348"/>
        <v>839.72200490325406</v>
      </c>
      <c r="M812" s="306">
        <f t="shared" ca="1" si="364"/>
        <v>-1.5000319120296095</v>
      </c>
      <c r="N812" s="304">
        <f t="shared" ca="1" si="365"/>
        <v>-85.945497694235812</v>
      </c>
      <c r="P812" s="310">
        <f t="shared" ca="1" si="366"/>
        <v>23</v>
      </c>
      <c r="Q812" s="304">
        <f t="shared" ca="1" si="367"/>
        <v>0</v>
      </c>
      <c r="R812" s="306">
        <f t="shared" ca="1" si="368"/>
        <v>0</v>
      </c>
      <c r="S812" s="307">
        <f t="shared" ca="1" si="369"/>
        <v>2.9792999999999985</v>
      </c>
      <c r="T812" s="304">
        <f t="shared" ca="1" si="349"/>
        <v>29.226932999999988</v>
      </c>
      <c r="U812" s="311">
        <f t="shared" ca="1" si="350"/>
        <v>0</v>
      </c>
      <c r="V812" s="306">
        <f t="shared" ca="1" si="351"/>
        <v>1.2254594646546397</v>
      </c>
      <c r="W812" s="304">
        <f t="shared" ca="1" si="352"/>
        <v>27.458799144293774</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0.56894005588647723</v>
      </c>
      <c r="AH812" s="304">
        <f t="shared" ca="1" si="376"/>
        <v>-9.2165074425611095</v>
      </c>
    </row>
    <row r="813" spans="1:34" x14ac:dyDescent="0.2">
      <c r="A813" s="347">
        <f t="shared" ca="1" si="354"/>
        <v>1E-4</v>
      </c>
      <c r="B813" s="304">
        <f t="shared" ca="1" si="355"/>
        <v>37.030500000001233</v>
      </c>
      <c r="D813" s="306">
        <f t="shared" ca="1" si="356"/>
        <v>-0.65165795343897603</v>
      </c>
      <c r="E813" s="307">
        <f t="shared" ca="1" si="357"/>
        <v>-0.61653963841855131</v>
      </c>
      <c r="F813" s="304">
        <f t="shared" ca="1" si="358"/>
        <v>0.89709487459329107</v>
      </c>
      <c r="G813" s="306">
        <f t="shared" ca="1" si="359"/>
        <v>7.3961111679439178</v>
      </c>
      <c r="H813" s="307">
        <f t="shared" ca="1" si="360"/>
        <v>-104.34384138175361</v>
      </c>
      <c r="I813" s="304">
        <f t="shared" ca="1" si="361"/>
        <v>104.605638924052</v>
      </c>
      <c r="J813" s="306">
        <f t="shared" ca="1" si="362"/>
        <v>839.7136314269211</v>
      </c>
      <c r="K813" s="307">
        <f t="shared" ca="1" si="363"/>
        <v>-3.7604629880734954</v>
      </c>
      <c r="L813" s="304">
        <f t="shared" ca="1" si="348"/>
        <v>839.72205156591644</v>
      </c>
      <c r="M813" s="306">
        <f t="shared" ca="1" si="364"/>
        <v>-1.5000325751101875</v>
      </c>
      <c r="N813" s="304">
        <f t="shared" ca="1" si="365"/>
        <v>-85.945535685954397</v>
      </c>
      <c r="P813" s="310">
        <f t="shared" ca="1" si="366"/>
        <v>23</v>
      </c>
      <c r="Q813" s="304">
        <f t="shared" ca="1" si="367"/>
        <v>0</v>
      </c>
      <c r="R813" s="306">
        <f t="shared" ca="1" si="368"/>
        <v>0</v>
      </c>
      <c r="S813" s="307">
        <f t="shared" ca="1" si="369"/>
        <v>2.9792999999999985</v>
      </c>
      <c r="T813" s="304">
        <f t="shared" ca="1" si="349"/>
        <v>29.226932999999988</v>
      </c>
      <c r="U813" s="311">
        <f t="shared" ca="1" si="350"/>
        <v>0</v>
      </c>
      <c r="V813" s="306">
        <f t="shared" ca="1" si="351"/>
        <v>1.2254607433464542</v>
      </c>
      <c r="W813" s="304">
        <f t="shared" ca="1" si="352"/>
        <v>27.458857664083602</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0.56892087339570274</v>
      </c>
      <c r="AH813" s="304">
        <f t="shared" ca="1" si="376"/>
        <v>-9.216527084984321</v>
      </c>
    </row>
    <row r="814" spans="1:34" x14ac:dyDescent="0.2">
      <c r="A814" s="347">
        <f t="shared" ca="1" si="354"/>
        <v>1E-4</v>
      </c>
      <c r="B814" s="304">
        <f t="shared" ca="1" si="355"/>
        <v>37.030600000001236</v>
      </c>
      <c r="D814" s="306">
        <f t="shared" ca="1" si="356"/>
        <v>-0.65165324622469922</v>
      </c>
      <c r="E814" s="307">
        <f t="shared" ca="1" si="357"/>
        <v>-0.61651961335009275</v>
      </c>
      <c r="F814" s="304">
        <f t="shared" ca="1" si="358"/>
        <v>0.89707769282294403</v>
      </c>
      <c r="G814" s="306">
        <f t="shared" ca="1" si="359"/>
        <v>7.3960460026192951</v>
      </c>
      <c r="H814" s="307">
        <f t="shared" ca="1" si="360"/>
        <v>-104.34390303371494</v>
      </c>
      <c r="I814" s="304">
        <f t="shared" ca="1" si="361"/>
        <v>104.6056958142441</v>
      </c>
      <c r="J814" s="306">
        <f t="shared" ca="1" si="362"/>
        <v>839.7136314269211</v>
      </c>
      <c r="K814" s="307">
        <f t="shared" ca="1" si="363"/>
        <v>-3.7708973752942687</v>
      </c>
      <c r="L814" s="304">
        <f t="shared" ca="1" si="348"/>
        <v>839.72209835826175</v>
      </c>
      <c r="M814" s="306">
        <f t="shared" ca="1" si="364"/>
        <v>-1.5000332381842021</v>
      </c>
      <c r="N814" s="304">
        <f t="shared" ca="1" si="365"/>
        <v>-85.945573677296949</v>
      </c>
      <c r="P814" s="310">
        <f t="shared" ca="1" si="366"/>
        <v>23</v>
      </c>
      <c r="Q814" s="304">
        <f t="shared" ca="1" si="367"/>
        <v>0</v>
      </c>
      <c r="R814" s="306">
        <f t="shared" ca="1" si="368"/>
        <v>0</v>
      </c>
      <c r="S814" s="307">
        <f t="shared" ca="1" si="369"/>
        <v>2.9792999999999985</v>
      </c>
      <c r="T814" s="304">
        <f t="shared" ca="1" si="349"/>
        <v>29.226932999999988</v>
      </c>
      <c r="U814" s="311">
        <f t="shared" ca="1" si="350"/>
        <v>0</v>
      </c>
      <c r="V814" s="306">
        <f t="shared" ca="1" si="351"/>
        <v>1.2254620220403587</v>
      </c>
      <c r="W814" s="304">
        <f t="shared" ca="1" si="352"/>
        <v>27.45891618299175</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0.56890169119199996</v>
      </c>
      <c r="AH814" s="304">
        <f t="shared" ca="1" si="376"/>
        <v>-9.2165467271116093</v>
      </c>
    </row>
    <row r="815" spans="1:34" x14ac:dyDescent="0.2">
      <c r="A815" s="347">
        <f t="shared" ca="1" si="354"/>
        <v>1E-4</v>
      </c>
      <c r="B815" s="304">
        <f t="shared" ca="1" si="355"/>
        <v>37.030700000001239</v>
      </c>
      <c r="D815" s="306">
        <f t="shared" ca="1" si="356"/>
        <v>-0.65164853902356945</v>
      </c>
      <c r="E815" s="307">
        <f t="shared" ca="1" si="357"/>
        <v>-0.61649958858330756</v>
      </c>
      <c r="F815" s="304">
        <f t="shared" ca="1" si="358"/>
        <v>0.89706051141210086</v>
      </c>
      <c r="G815" s="306">
        <f t="shared" ca="1" si="359"/>
        <v>7.3959808377653928</v>
      </c>
      <c r="H815" s="307">
        <f t="shared" ca="1" si="360"/>
        <v>-104.34396468367379</v>
      </c>
      <c r="I815" s="304">
        <f t="shared" ca="1" si="361"/>
        <v>104.60575270251802</v>
      </c>
      <c r="J815" s="306">
        <f t="shared" ca="1" si="362"/>
        <v>839.7136314269211</v>
      </c>
      <c r="K815" s="307">
        <f t="shared" ca="1" si="363"/>
        <v>-3.781331768680138</v>
      </c>
      <c r="L815" s="304">
        <f t="shared" ca="1" si="348"/>
        <v>839.72214528028974</v>
      </c>
      <c r="M815" s="306">
        <f t="shared" ca="1" si="364"/>
        <v>-1.5000339012516533</v>
      </c>
      <c r="N815" s="304">
        <f t="shared" ca="1" si="365"/>
        <v>-85.945611668263425</v>
      </c>
      <c r="P815" s="310">
        <f t="shared" ca="1" si="366"/>
        <v>23</v>
      </c>
      <c r="Q815" s="304">
        <f t="shared" ca="1" si="367"/>
        <v>0</v>
      </c>
      <c r="R815" s="306">
        <f t="shared" ca="1" si="368"/>
        <v>0</v>
      </c>
      <c r="S815" s="307">
        <f t="shared" ca="1" si="369"/>
        <v>2.9792999999999985</v>
      </c>
      <c r="T815" s="304">
        <f t="shared" ca="1" si="349"/>
        <v>29.226932999999988</v>
      </c>
      <c r="U815" s="311">
        <f t="shared" ca="1" si="350"/>
        <v>0</v>
      </c>
      <c r="V815" s="306">
        <f t="shared" ca="1" si="351"/>
        <v>1.2254633007363533</v>
      </c>
      <c r="W815" s="304">
        <f t="shared" ca="1" si="352"/>
        <v>27.458974701018263</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0.56888250927537776</v>
      </c>
      <c r="AH815" s="304">
        <f t="shared" ca="1" si="376"/>
        <v>-9.2165663689429618</v>
      </c>
    </row>
    <row r="816" spans="1:34" x14ac:dyDescent="0.2">
      <c r="A816" s="347">
        <f t="shared" ca="1" si="354"/>
        <v>1E-4</v>
      </c>
      <c r="B816" s="304">
        <f t="shared" ca="1" si="355"/>
        <v>37.030800000001243</v>
      </c>
      <c r="D816" s="306">
        <f t="shared" ca="1" si="356"/>
        <v>-0.65164383183558838</v>
      </c>
      <c r="E816" s="307">
        <f t="shared" ca="1" si="357"/>
        <v>-0.61647956411817972</v>
      </c>
      <c r="F816" s="304">
        <f t="shared" ca="1" si="358"/>
        <v>0.89704333036075212</v>
      </c>
      <c r="G816" s="306">
        <f t="shared" ca="1" si="359"/>
        <v>7.3959156733822091</v>
      </c>
      <c r="H816" s="307">
        <f t="shared" ca="1" si="360"/>
        <v>-104.3440263316302</v>
      </c>
      <c r="I816" s="304">
        <f t="shared" ca="1" si="361"/>
        <v>104.60580958887378</v>
      </c>
      <c r="J816" s="306">
        <f t="shared" ca="1" si="362"/>
        <v>839.7136314269211</v>
      </c>
      <c r="K816" s="307">
        <f t="shared" ca="1" si="363"/>
        <v>-3.7917661682309034</v>
      </c>
      <c r="L816" s="304">
        <f t="shared" ca="1" si="348"/>
        <v>839.72219233200076</v>
      </c>
      <c r="M816" s="306">
        <f t="shared" ca="1" si="364"/>
        <v>-1.500034564312541</v>
      </c>
      <c r="N816" s="304">
        <f t="shared" ca="1" si="365"/>
        <v>-85.945649658853853</v>
      </c>
      <c r="P816" s="310">
        <f t="shared" ca="1" si="366"/>
        <v>23</v>
      </c>
      <c r="Q816" s="304">
        <f t="shared" ca="1" si="367"/>
        <v>0</v>
      </c>
      <c r="R816" s="306">
        <f t="shared" ca="1" si="368"/>
        <v>0</v>
      </c>
      <c r="S816" s="307">
        <f t="shared" ca="1" si="369"/>
        <v>2.9792999999999985</v>
      </c>
      <c r="T816" s="304">
        <f t="shared" ca="1" si="349"/>
        <v>29.226932999999988</v>
      </c>
      <c r="U816" s="311">
        <f t="shared" ca="1" si="350"/>
        <v>0</v>
      </c>
      <c r="V816" s="306">
        <f t="shared" ca="1" si="351"/>
        <v>1.2254645794344374</v>
      </c>
      <c r="W816" s="304">
        <f t="shared" ca="1" si="352"/>
        <v>27.459033218163135</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0.56886332764582015</v>
      </c>
      <c r="AH816" s="304">
        <f t="shared" ca="1" si="376"/>
        <v>-9.2165860104783928</v>
      </c>
    </row>
    <row r="817" spans="1:34" x14ac:dyDescent="0.2">
      <c r="A817" s="347">
        <f t="shared" ca="1" si="354"/>
        <v>1E-4</v>
      </c>
      <c r="B817" s="304">
        <f t="shared" ca="1" si="355"/>
        <v>37.030900000001246</v>
      </c>
      <c r="D817" s="306">
        <f t="shared" ca="1" si="356"/>
        <v>-0.65163912466075757</v>
      </c>
      <c r="E817" s="307">
        <f t="shared" ca="1" si="357"/>
        <v>-0.61645953995471103</v>
      </c>
      <c r="F817" s="304">
        <f t="shared" ca="1" si="358"/>
        <v>0.89702614966890026</v>
      </c>
      <c r="G817" s="306">
        <f t="shared" ca="1" si="359"/>
        <v>7.3958505094697431</v>
      </c>
      <c r="H817" s="307">
        <f t="shared" ca="1" si="360"/>
        <v>-104.34408797758419</v>
      </c>
      <c r="I817" s="304">
        <f t="shared" ca="1" si="361"/>
        <v>104.60586647331139</v>
      </c>
      <c r="J817" s="306">
        <f t="shared" ca="1" si="362"/>
        <v>839.7136314269211</v>
      </c>
      <c r="K817" s="307">
        <f t="shared" ca="1" si="363"/>
        <v>-3.8022005739463642</v>
      </c>
      <c r="L817" s="304">
        <f t="shared" ca="1" si="348"/>
        <v>839.72223951339504</v>
      </c>
      <c r="M817" s="306">
        <f t="shared" ca="1" si="364"/>
        <v>-1.5000352273668658</v>
      </c>
      <c r="N817" s="304">
        <f t="shared" ca="1" si="365"/>
        <v>-85.945687649068248</v>
      </c>
      <c r="P817" s="310">
        <f t="shared" ca="1" si="366"/>
        <v>23</v>
      </c>
      <c r="Q817" s="304">
        <f t="shared" ca="1" si="367"/>
        <v>0</v>
      </c>
      <c r="R817" s="306">
        <f t="shared" ca="1" si="368"/>
        <v>0</v>
      </c>
      <c r="S817" s="307">
        <f t="shared" ca="1" si="369"/>
        <v>2.9792999999999985</v>
      </c>
      <c r="T817" s="304">
        <f t="shared" ca="1" si="349"/>
        <v>29.226932999999988</v>
      </c>
      <c r="U817" s="311">
        <f t="shared" ca="1" si="350"/>
        <v>0</v>
      </c>
      <c r="V817" s="306">
        <f t="shared" ca="1" si="351"/>
        <v>1.2254658581346121</v>
      </c>
      <c r="W817" s="304">
        <f t="shared" ca="1" si="352"/>
        <v>27.45909173442638</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0.56884414630332714</v>
      </c>
      <c r="AH817" s="304">
        <f t="shared" ca="1" si="376"/>
        <v>-9.216605651717904</v>
      </c>
    </row>
    <row r="818" spans="1:34" x14ac:dyDescent="0.2">
      <c r="A818" s="347">
        <f t="shared" ca="1" si="354"/>
        <v>1E-4</v>
      </c>
      <c r="B818" s="304">
        <f t="shared" ca="1" si="355"/>
        <v>37.031000000001249</v>
      </c>
      <c r="D818" s="306">
        <f t="shared" ca="1" si="356"/>
        <v>-0.65163441749907369</v>
      </c>
      <c r="E818" s="307">
        <f t="shared" ca="1" si="357"/>
        <v>-0.61643951609289616</v>
      </c>
      <c r="F818" s="304">
        <f t="shared" ca="1" si="358"/>
        <v>0.89700896933653962</v>
      </c>
      <c r="G818" s="306">
        <f t="shared" ca="1" si="359"/>
        <v>7.395785346027993</v>
      </c>
      <c r="H818" s="307">
        <f t="shared" ca="1" si="360"/>
        <v>-104.34414962153581</v>
      </c>
      <c r="I818" s="304">
        <f t="shared" ca="1" si="361"/>
        <v>104.60592335583092</v>
      </c>
      <c r="J818" s="306">
        <f t="shared" ca="1" si="362"/>
        <v>839.7136314269211</v>
      </c>
      <c r="K818" s="307">
        <f t="shared" ca="1" si="363"/>
        <v>-3.8126349858263202</v>
      </c>
      <c r="L818" s="304">
        <f t="shared" ca="1" si="348"/>
        <v>839.7222868244728</v>
      </c>
      <c r="M818" s="306">
        <f t="shared" ca="1" si="364"/>
        <v>-1.5000358904146271</v>
      </c>
      <c r="N818" s="304">
        <f t="shared" ca="1" si="365"/>
        <v>-85.945725638906595</v>
      </c>
      <c r="P818" s="310">
        <f t="shared" ca="1" si="366"/>
        <v>23</v>
      </c>
      <c r="Q818" s="304">
        <f t="shared" ca="1" si="367"/>
        <v>0</v>
      </c>
      <c r="R818" s="306">
        <f t="shared" ca="1" si="368"/>
        <v>0</v>
      </c>
      <c r="S818" s="307">
        <f t="shared" ca="1" si="369"/>
        <v>2.9792999999999985</v>
      </c>
      <c r="T818" s="304">
        <f t="shared" ca="1" si="349"/>
        <v>29.226932999999988</v>
      </c>
      <c r="U818" s="311">
        <f t="shared" ca="1" si="350"/>
        <v>0</v>
      </c>
      <c r="V818" s="306">
        <f t="shared" ca="1" si="351"/>
        <v>1.2254671368368761</v>
      </c>
      <c r="W818" s="304">
        <f t="shared" ca="1" si="352"/>
        <v>27.459150249808022</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0.56882496524790049</v>
      </c>
      <c r="AH818" s="304">
        <f t="shared" ca="1" si="376"/>
        <v>-9.2166252926614955</v>
      </c>
    </row>
    <row r="819" spans="1:34" x14ac:dyDescent="0.2">
      <c r="A819" s="347">
        <f t="shared" ca="1" si="354"/>
        <v>1E-4</v>
      </c>
      <c r="B819" s="304">
        <f t="shared" ca="1" si="355"/>
        <v>37.031100000001253</v>
      </c>
      <c r="D819" s="306">
        <f t="shared" ca="1" si="356"/>
        <v>-0.65162971035054262</v>
      </c>
      <c r="E819" s="307">
        <f t="shared" ca="1" si="357"/>
        <v>-0.61641949253272621</v>
      </c>
      <c r="F819" s="304">
        <f t="shared" ca="1" si="358"/>
        <v>0.89699178936366841</v>
      </c>
      <c r="G819" s="306">
        <f t="shared" ca="1" si="359"/>
        <v>7.3957201830569579</v>
      </c>
      <c r="H819" s="307">
        <f t="shared" ca="1" si="360"/>
        <v>-104.34421126348506</v>
      </c>
      <c r="I819" s="304">
        <f t="shared" ca="1" si="361"/>
        <v>104.60598023643237</v>
      </c>
      <c r="J819" s="306">
        <f t="shared" ca="1" si="362"/>
        <v>839.7136314269211</v>
      </c>
      <c r="K819" s="307">
        <f t="shared" ca="1" si="363"/>
        <v>-3.823069403870571</v>
      </c>
      <c r="L819" s="304">
        <f t="shared" ca="1" si="348"/>
        <v>839.72233426523428</v>
      </c>
      <c r="M819" s="306">
        <f t="shared" ca="1" si="364"/>
        <v>-1.5000365534558255</v>
      </c>
      <c r="N819" s="304">
        <f t="shared" ca="1" si="365"/>
        <v>-85.945763628368908</v>
      </c>
      <c r="P819" s="310">
        <f t="shared" ca="1" si="366"/>
        <v>23</v>
      </c>
      <c r="Q819" s="304">
        <f t="shared" ca="1" si="367"/>
        <v>0</v>
      </c>
      <c r="R819" s="306">
        <f t="shared" ca="1" si="368"/>
        <v>0</v>
      </c>
      <c r="S819" s="307">
        <f t="shared" ca="1" si="369"/>
        <v>2.9792999999999985</v>
      </c>
      <c r="T819" s="304">
        <f t="shared" ca="1" si="349"/>
        <v>29.226932999999988</v>
      </c>
      <c r="U819" s="311">
        <f t="shared" ca="1" si="350"/>
        <v>0</v>
      </c>
      <c r="V819" s="306">
        <f t="shared" ca="1" si="351"/>
        <v>1.2254684155412305</v>
      </c>
      <c r="W819" s="304">
        <f t="shared" ca="1" si="352"/>
        <v>27.459208764308055</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0.56880578447953134</v>
      </c>
      <c r="AH819" s="304">
        <f t="shared" ca="1" si="376"/>
        <v>-9.216644933309178</v>
      </c>
    </row>
    <row r="820" spans="1:34" x14ac:dyDescent="0.2">
      <c r="A820" s="347">
        <f t="shared" ca="1" si="354"/>
        <v>1E-4</v>
      </c>
      <c r="B820" s="304">
        <f t="shared" ca="1" si="355"/>
        <v>37.031200000001256</v>
      </c>
      <c r="D820" s="306">
        <f t="shared" ca="1" si="356"/>
        <v>-0.65162500321516093</v>
      </c>
      <c r="E820" s="307">
        <f t="shared" ca="1" si="357"/>
        <v>-0.61639946927420652</v>
      </c>
      <c r="F820" s="304">
        <f t="shared" ca="1" si="358"/>
        <v>0.89697460975028831</v>
      </c>
      <c r="G820" s="306">
        <f t="shared" ca="1" si="359"/>
        <v>7.395655020556636</v>
      </c>
      <c r="H820" s="307">
        <f t="shared" ca="1" si="360"/>
        <v>-104.34427290343199</v>
      </c>
      <c r="I820" s="304">
        <f t="shared" ca="1" si="361"/>
        <v>104.60603711511575</v>
      </c>
      <c r="J820" s="306">
        <f t="shared" ca="1" si="362"/>
        <v>839.7136314269211</v>
      </c>
      <c r="K820" s="307">
        <f t="shared" ca="1" si="363"/>
        <v>-3.8335038280789169</v>
      </c>
      <c r="L820" s="304">
        <f t="shared" ca="1" si="348"/>
        <v>839.7223818356797</v>
      </c>
      <c r="M820" s="306">
        <f t="shared" ca="1" si="364"/>
        <v>-1.500037216490461</v>
      </c>
      <c r="N820" s="304">
        <f t="shared" ca="1" si="365"/>
        <v>-85.945801617455189</v>
      </c>
      <c r="P820" s="310">
        <f t="shared" ca="1" si="366"/>
        <v>23</v>
      </c>
      <c r="Q820" s="304">
        <f t="shared" ca="1" si="367"/>
        <v>0</v>
      </c>
      <c r="R820" s="306">
        <f t="shared" ca="1" si="368"/>
        <v>0</v>
      </c>
      <c r="S820" s="307">
        <f t="shared" ca="1" si="369"/>
        <v>2.9792999999999985</v>
      </c>
      <c r="T820" s="304">
        <f t="shared" ca="1" si="349"/>
        <v>29.226932999999988</v>
      </c>
      <c r="U820" s="311">
        <f t="shared" ca="1" si="350"/>
        <v>0</v>
      </c>
      <c r="V820" s="306">
        <f t="shared" ca="1" si="351"/>
        <v>1.2254696942476744</v>
      </c>
      <c r="W820" s="304">
        <f t="shared" ca="1" si="352"/>
        <v>27.459267277926479</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0.56878660399821612</v>
      </c>
      <c r="AH820" s="304">
        <f t="shared" ca="1" si="376"/>
        <v>-9.2166645736609496</v>
      </c>
    </row>
    <row r="821" spans="1:34" x14ac:dyDescent="0.2">
      <c r="A821" s="347">
        <f t="shared" ca="1" si="354"/>
        <v>1E-4</v>
      </c>
      <c r="B821" s="304">
        <f t="shared" ca="1" si="355"/>
        <v>37.031300000001259</v>
      </c>
      <c r="D821" s="306">
        <f t="shared" ca="1" si="356"/>
        <v>-0.65162029609292993</v>
      </c>
      <c r="E821" s="307">
        <f t="shared" ca="1" si="357"/>
        <v>-0.61637944631733177</v>
      </c>
      <c r="F821" s="304">
        <f t="shared" ca="1" si="358"/>
        <v>0.89695743049639665</v>
      </c>
      <c r="G821" s="306">
        <f t="shared" ca="1" si="359"/>
        <v>7.3955898585270265</v>
      </c>
      <c r="H821" s="307">
        <f t="shared" ca="1" si="360"/>
        <v>-104.34433454137661</v>
      </c>
      <c r="I821" s="304">
        <f t="shared" ca="1" si="361"/>
        <v>104.60609399188112</v>
      </c>
      <c r="J821" s="306">
        <f t="shared" ca="1" si="362"/>
        <v>839.7136314269211</v>
      </c>
      <c r="K821" s="307">
        <f t="shared" ca="1" si="363"/>
        <v>-3.8439382584511574</v>
      </c>
      <c r="L821" s="304">
        <f t="shared" ca="1" si="348"/>
        <v>839.72242953580906</v>
      </c>
      <c r="M821" s="306">
        <f t="shared" ca="1" si="364"/>
        <v>-1.5000378795185334</v>
      </c>
      <c r="N821" s="304">
        <f t="shared" ca="1" si="365"/>
        <v>-85.945839606165435</v>
      </c>
      <c r="P821" s="310">
        <f t="shared" ca="1" si="366"/>
        <v>23</v>
      </c>
      <c r="Q821" s="304">
        <f t="shared" ca="1" si="367"/>
        <v>0</v>
      </c>
      <c r="R821" s="306">
        <f t="shared" ca="1" si="368"/>
        <v>0</v>
      </c>
      <c r="S821" s="307">
        <f t="shared" ca="1" si="369"/>
        <v>2.9792999999999985</v>
      </c>
      <c r="T821" s="304">
        <f t="shared" ca="1" si="349"/>
        <v>29.226932999999988</v>
      </c>
      <c r="U821" s="311">
        <f t="shared" ca="1" si="350"/>
        <v>0</v>
      </c>
      <c r="V821" s="306">
        <f t="shared" ca="1" si="351"/>
        <v>1.2254709729562085</v>
      </c>
      <c r="W821" s="304">
        <f t="shared" ca="1" si="352"/>
        <v>27.459325790663325</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0.56876742380395839</v>
      </c>
      <c r="AH821" s="304">
        <f t="shared" ca="1" si="376"/>
        <v>-9.2166842137168103</v>
      </c>
    </row>
    <row r="822" spans="1:34" x14ac:dyDescent="0.2">
      <c r="A822" s="347">
        <f t="shared" ca="1" si="354"/>
        <v>1E-4</v>
      </c>
      <c r="B822" s="304">
        <f t="shared" ca="1" si="355"/>
        <v>37.031400000001263</v>
      </c>
      <c r="D822" s="306">
        <f t="shared" ca="1" si="356"/>
        <v>-0.65161558898385119</v>
      </c>
      <c r="E822" s="307">
        <f t="shared" ca="1" si="357"/>
        <v>-0.61635942366209662</v>
      </c>
      <c r="F822" s="304">
        <f t="shared" ca="1" si="358"/>
        <v>0.8969402516019912</v>
      </c>
      <c r="G822" s="306">
        <f t="shared" ca="1" si="359"/>
        <v>7.3955246969681285</v>
      </c>
      <c r="H822" s="307">
        <f t="shared" ca="1" si="360"/>
        <v>-104.34439617731898</v>
      </c>
      <c r="I822" s="304">
        <f t="shared" ca="1" si="361"/>
        <v>104.60615086672851</v>
      </c>
      <c r="J822" s="306">
        <f t="shared" ca="1" si="362"/>
        <v>839.7136314269211</v>
      </c>
      <c r="K822" s="307">
        <f t="shared" ca="1" si="363"/>
        <v>-3.854372694987092</v>
      </c>
      <c r="L822" s="304">
        <f t="shared" ca="1" si="348"/>
        <v>839.72247736562292</v>
      </c>
      <c r="M822" s="306">
        <f t="shared" ca="1" si="364"/>
        <v>-1.5000385425400429</v>
      </c>
      <c r="N822" s="304">
        <f t="shared" ca="1" si="365"/>
        <v>-85.945877594499649</v>
      </c>
      <c r="P822" s="310">
        <f t="shared" ca="1" si="366"/>
        <v>23</v>
      </c>
      <c r="Q822" s="304">
        <f t="shared" ca="1" si="367"/>
        <v>0</v>
      </c>
      <c r="R822" s="306">
        <f t="shared" ca="1" si="368"/>
        <v>0</v>
      </c>
      <c r="S822" s="307">
        <f t="shared" ca="1" si="369"/>
        <v>2.9792999999999985</v>
      </c>
      <c r="T822" s="304">
        <f t="shared" ca="1" si="349"/>
        <v>29.226932999999988</v>
      </c>
      <c r="U822" s="311">
        <f t="shared" ca="1" si="350"/>
        <v>0</v>
      </c>
      <c r="V822" s="306">
        <f t="shared" ca="1" si="351"/>
        <v>1.2254722516668324</v>
      </c>
      <c r="W822" s="304">
        <f t="shared" ca="1" si="352"/>
        <v>27.459384302518597</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0.56874824389674927</v>
      </c>
      <c r="AH822" s="304">
        <f t="shared" ca="1" si="376"/>
        <v>-9.2167038534767691</v>
      </c>
    </row>
    <row r="823" spans="1:34" x14ac:dyDescent="0.2">
      <c r="A823" s="347">
        <f t="shared" ca="1" si="354"/>
        <v>1E-4</v>
      </c>
      <c r="B823" s="304">
        <f t="shared" ca="1" si="355"/>
        <v>37.031500000001266</v>
      </c>
      <c r="D823" s="306">
        <f t="shared" ca="1" si="356"/>
        <v>-0.65161088188792549</v>
      </c>
      <c r="E823" s="307">
        <f t="shared" ca="1" si="357"/>
        <v>-0.61633940130849751</v>
      </c>
      <c r="F823" s="304">
        <f t="shared" ca="1" si="358"/>
        <v>0.89692307306707031</v>
      </c>
      <c r="G823" s="306">
        <f t="shared" ca="1" si="359"/>
        <v>7.3954595358799393</v>
      </c>
      <c r="H823" s="307">
        <f t="shared" ca="1" si="360"/>
        <v>-104.34445781125912</v>
      </c>
      <c r="I823" s="304">
        <f t="shared" ca="1" si="361"/>
        <v>104.60620773965793</v>
      </c>
      <c r="J823" s="306">
        <f t="shared" ca="1" si="362"/>
        <v>839.7136314269211</v>
      </c>
      <c r="K823" s="307">
        <f t="shared" ca="1" si="363"/>
        <v>-3.8648071376865207</v>
      </c>
      <c r="L823" s="304">
        <f t="shared" ca="1" si="348"/>
        <v>839.72252532512107</v>
      </c>
      <c r="M823" s="306">
        <f t="shared" ca="1" si="364"/>
        <v>-1.5000392055549898</v>
      </c>
      <c r="N823" s="304">
        <f t="shared" ca="1" si="365"/>
        <v>-85.945915582457872</v>
      </c>
      <c r="P823" s="310">
        <f t="shared" ca="1" si="366"/>
        <v>23</v>
      </c>
      <c r="Q823" s="304">
        <f t="shared" ca="1" si="367"/>
        <v>0</v>
      </c>
      <c r="R823" s="306">
        <f t="shared" ca="1" si="368"/>
        <v>0</v>
      </c>
      <c r="S823" s="307">
        <f t="shared" ca="1" si="369"/>
        <v>2.9792999999999985</v>
      </c>
      <c r="T823" s="304">
        <f t="shared" ca="1" si="349"/>
        <v>29.226932999999988</v>
      </c>
      <c r="U823" s="311">
        <f t="shared" ca="1" si="350"/>
        <v>0</v>
      </c>
      <c r="V823" s="306">
        <f t="shared" ca="1" si="351"/>
        <v>1.2254735303795463</v>
      </c>
      <c r="W823" s="304">
        <f t="shared" ca="1" si="352"/>
        <v>27.459442813492302</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0.56872906427658876</v>
      </c>
      <c r="AH823" s="304">
        <f t="shared" ca="1" si="376"/>
        <v>-9.2167234929408277</v>
      </c>
    </row>
    <row r="824" spans="1:34" x14ac:dyDescent="0.2">
      <c r="A824" s="347">
        <f t="shared" ca="1" si="354"/>
        <v>1E-4</v>
      </c>
      <c r="B824" s="304">
        <f t="shared" ca="1" si="355"/>
        <v>37.031600000001269</v>
      </c>
      <c r="D824" s="306">
        <f t="shared" ca="1" si="356"/>
        <v>-0.65160617480515048</v>
      </c>
      <c r="E824" s="307">
        <f t="shared" ca="1" si="357"/>
        <v>-0.61631937925652913</v>
      </c>
      <c r="F824" s="304">
        <f t="shared" ca="1" si="358"/>
        <v>0.89690589489162897</v>
      </c>
      <c r="G824" s="306">
        <f t="shared" ca="1" si="359"/>
        <v>7.3953943752624589</v>
      </c>
      <c r="H824" s="307">
        <f t="shared" ca="1" si="360"/>
        <v>-104.34451944319704</v>
      </c>
      <c r="I824" s="304">
        <f t="shared" ca="1" si="361"/>
        <v>104.60626461066941</v>
      </c>
      <c r="J824" s="306">
        <f t="shared" ca="1" si="362"/>
        <v>839.7136314269211</v>
      </c>
      <c r="K824" s="307">
        <f t="shared" ca="1" si="363"/>
        <v>-3.8752415865492433</v>
      </c>
      <c r="L824" s="304">
        <f t="shared" ca="1" si="348"/>
        <v>839.72257341430395</v>
      </c>
      <c r="M824" s="306">
        <f t="shared" ca="1" si="364"/>
        <v>-1.500039868563374</v>
      </c>
      <c r="N824" s="304">
        <f t="shared" ca="1" si="365"/>
        <v>-85.945953570040061</v>
      </c>
      <c r="P824" s="310">
        <f t="shared" ca="1" si="366"/>
        <v>23</v>
      </c>
      <c r="Q824" s="304">
        <f t="shared" ca="1" si="367"/>
        <v>0</v>
      </c>
      <c r="R824" s="306">
        <f t="shared" ca="1" si="368"/>
        <v>0</v>
      </c>
      <c r="S824" s="307">
        <f t="shared" ca="1" si="369"/>
        <v>2.9792999999999985</v>
      </c>
      <c r="T824" s="304">
        <f t="shared" ca="1" si="349"/>
        <v>29.226932999999988</v>
      </c>
      <c r="U824" s="311">
        <f t="shared" ca="1" si="350"/>
        <v>0</v>
      </c>
      <c r="V824" s="306">
        <f t="shared" ca="1" si="351"/>
        <v>1.2254748090943497</v>
      </c>
      <c r="W824" s="304">
        <f t="shared" ca="1" si="352"/>
        <v>27.459501323584448</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0.56870988494346797</v>
      </c>
      <c r="AH824" s="304">
        <f t="shared" ca="1" si="376"/>
        <v>-9.2167431321089914</v>
      </c>
    </row>
    <row r="825" spans="1:34" x14ac:dyDescent="0.2">
      <c r="A825" s="347">
        <f t="shared" ca="1" si="354"/>
        <v>1E-4</v>
      </c>
      <c r="B825" s="304">
        <f t="shared" ca="1" si="355"/>
        <v>37.031700000001273</v>
      </c>
      <c r="D825" s="306">
        <f t="shared" ca="1" si="356"/>
        <v>-0.65160146773552874</v>
      </c>
      <c r="E825" s="307">
        <f t="shared" ca="1" si="357"/>
        <v>-0.61629935750619325</v>
      </c>
      <c r="F825" s="304">
        <f t="shared" ca="1" si="358"/>
        <v>0.89688871707567031</v>
      </c>
      <c r="G825" s="306">
        <f t="shared" ca="1" si="359"/>
        <v>7.3953292151156855</v>
      </c>
      <c r="H825" s="307">
        <f t="shared" ca="1" si="360"/>
        <v>-104.3445810731328</v>
      </c>
      <c r="I825" s="304">
        <f t="shared" ca="1" si="361"/>
        <v>104.606321479763</v>
      </c>
      <c r="J825" s="306">
        <f t="shared" ca="1" si="362"/>
        <v>839.7136314269211</v>
      </c>
      <c r="K825" s="307">
        <f t="shared" ca="1" si="363"/>
        <v>-3.88567604157506</v>
      </c>
      <c r="L825" s="304">
        <f t="shared" ca="1" si="348"/>
        <v>839.72262163317191</v>
      </c>
      <c r="M825" s="306">
        <f t="shared" ca="1" si="364"/>
        <v>-1.5000405315651957</v>
      </c>
      <c r="N825" s="304">
        <f t="shared" ca="1" si="365"/>
        <v>-85.945991557246259</v>
      </c>
      <c r="P825" s="310">
        <f t="shared" ca="1" si="366"/>
        <v>23</v>
      </c>
      <c r="Q825" s="304">
        <f t="shared" ca="1" si="367"/>
        <v>0</v>
      </c>
      <c r="R825" s="306">
        <f t="shared" ca="1" si="368"/>
        <v>0</v>
      </c>
      <c r="S825" s="307">
        <f t="shared" ca="1" si="369"/>
        <v>2.9792999999999985</v>
      </c>
      <c r="T825" s="304">
        <f t="shared" ca="1" si="349"/>
        <v>29.226932999999988</v>
      </c>
      <c r="U825" s="311">
        <f t="shared" ca="1" si="350"/>
        <v>0</v>
      </c>
      <c r="V825" s="306">
        <f t="shared" ca="1" si="351"/>
        <v>1.2254760878112434</v>
      </c>
      <c r="W825" s="304">
        <f t="shared" ca="1" si="352"/>
        <v>27.459559832795062</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0.56869070589739046</v>
      </c>
      <c r="AH825" s="304">
        <f t="shared" ca="1" si="376"/>
        <v>-9.2167627709812585</v>
      </c>
    </row>
    <row r="826" spans="1:34" x14ac:dyDescent="0.2">
      <c r="A826" s="347">
        <f t="shared" ca="1" si="354"/>
        <v>1E-4</v>
      </c>
      <c r="B826" s="304">
        <f t="shared" ca="1" si="355"/>
        <v>37.031800000001276</v>
      </c>
      <c r="D826" s="306">
        <f t="shared" ca="1" si="356"/>
        <v>-0.65159676067906025</v>
      </c>
      <c r="E826" s="307">
        <f t="shared" ca="1" si="357"/>
        <v>-0.61627933605748098</v>
      </c>
      <c r="F826" s="304">
        <f t="shared" ca="1" si="358"/>
        <v>0.89687153961918875</v>
      </c>
      <c r="G826" s="306">
        <f t="shared" ca="1" si="359"/>
        <v>7.3952640554396174</v>
      </c>
      <c r="H826" s="307">
        <f t="shared" ca="1" si="360"/>
        <v>-104.34464270106641</v>
      </c>
      <c r="I826" s="304">
        <f t="shared" ca="1" si="361"/>
        <v>104.6063783469387</v>
      </c>
      <c r="J826" s="306">
        <f t="shared" ca="1" si="362"/>
        <v>839.7136314269211</v>
      </c>
      <c r="K826" s="307">
        <f t="shared" ca="1" si="363"/>
        <v>-3.8961105027637699</v>
      </c>
      <c r="L826" s="304">
        <f t="shared" ca="1" si="348"/>
        <v>839.72266998172483</v>
      </c>
      <c r="M826" s="306">
        <f t="shared" ca="1" si="364"/>
        <v>-1.5000411945604548</v>
      </c>
      <c r="N826" s="304">
        <f t="shared" ca="1" si="365"/>
        <v>-85.946029544076438</v>
      </c>
      <c r="P826" s="310">
        <f t="shared" ca="1" si="366"/>
        <v>23</v>
      </c>
      <c r="Q826" s="304">
        <f t="shared" ca="1" si="367"/>
        <v>0</v>
      </c>
      <c r="R826" s="306">
        <f t="shared" ca="1" si="368"/>
        <v>0</v>
      </c>
      <c r="S826" s="307">
        <f t="shared" ca="1" si="369"/>
        <v>2.9792999999999985</v>
      </c>
      <c r="T826" s="304">
        <f t="shared" ca="1" si="349"/>
        <v>29.226932999999988</v>
      </c>
      <c r="U826" s="311">
        <f t="shared" ca="1" si="350"/>
        <v>0</v>
      </c>
      <c r="V826" s="306">
        <f t="shared" ca="1" si="351"/>
        <v>1.2254773665302261</v>
      </c>
      <c r="W826" s="304">
        <f t="shared" ca="1" si="352"/>
        <v>27.459618341124113</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0.56867152713834734</v>
      </c>
      <c r="AH826" s="304">
        <f t="shared" ca="1" si="376"/>
        <v>-9.2167824095576396</v>
      </c>
    </row>
    <row r="827" spans="1:34" x14ac:dyDescent="0.2">
      <c r="A827" s="347">
        <f t="shared" ca="1" si="354"/>
        <v>1E-4</v>
      </c>
      <c r="B827" s="304">
        <f t="shared" ca="1" si="355"/>
        <v>37.031900000001279</v>
      </c>
      <c r="D827" s="306">
        <f t="shared" ca="1" si="356"/>
        <v>-0.65159205363574513</v>
      </c>
      <c r="E827" s="307">
        <f t="shared" ca="1" si="357"/>
        <v>-0.61625931491039943</v>
      </c>
      <c r="F827" s="304">
        <f t="shared" ca="1" si="358"/>
        <v>0.89685436252218931</v>
      </c>
      <c r="G827" s="306">
        <f t="shared" ca="1" si="359"/>
        <v>7.3951988962342536</v>
      </c>
      <c r="H827" s="307">
        <f t="shared" ca="1" si="360"/>
        <v>-104.3447043269979</v>
      </c>
      <c r="I827" s="304">
        <f t="shared" ca="1" si="361"/>
        <v>104.60643521219657</v>
      </c>
      <c r="J827" s="306">
        <f t="shared" ca="1" si="362"/>
        <v>839.7136314269211</v>
      </c>
      <c r="K827" s="307">
        <f t="shared" ca="1" si="363"/>
        <v>-3.9065449701151733</v>
      </c>
      <c r="L827" s="304">
        <f t="shared" ca="1" si="348"/>
        <v>839.72271845996318</v>
      </c>
      <c r="M827" s="306">
        <f t="shared" ca="1" si="364"/>
        <v>-1.5000418575491514</v>
      </c>
      <c r="N827" s="304">
        <f t="shared" ca="1" si="365"/>
        <v>-85.946067530530627</v>
      </c>
      <c r="P827" s="310">
        <f t="shared" ca="1" si="366"/>
        <v>23</v>
      </c>
      <c r="Q827" s="304">
        <f t="shared" ca="1" si="367"/>
        <v>0</v>
      </c>
      <c r="R827" s="306">
        <f t="shared" ca="1" si="368"/>
        <v>0</v>
      </c>
      <c r="S827" s="307">
        <f t="shared" ca="1" si="369"/>
        <v>2.9792999999999985</v>
      </c>
      <c r="T827" s="304">
        <f t="shared" ca="1" si="349"/>
        <v>29.226932999999988</v>
      </c>
      <c r="U827" s="311">
        <f t="shared" ca="1" si="350"/>
        <v>0</v>
      </c>
      <c r="V827" s="306">
        <f t="shared" ca="1" si="351"/>
        <v>1.2254786452512991</v>
      </c>
      <c r="W827" s="304">
        <f t="shared" ca="1" si="352"/>
        <v>27.459676848571672</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0.56865234866634573</v>
      </c>
      <c r="AH827" s="304">
        <f t="shared" ca="1" si="376"/>
        <v>-9.2168020478381258</v>
      </c>
    </row>
    <row r="828" spans="1:34" x14ac:dyDescent="0.2">
      <c r="A828" s="347">
        <f t="shared" ca="1" si="354"/>
        <v>1E-4</v>
      </c>
      <c r="B828" s="304">
        <f t="shared" ca="1" si="355"/>
        <v>37.032000000001283</v>
      </c>
      <c r="D828" s="306">
        <f t="shared" ca="1" si="356"/>
        <v>-0.65158734660558615</v>
      </c>
      <c r="E828" s="307">
        <f t="shared" ca="1" si="357"/>
        <v>-0.6162392940649255</v>
      </c>
      <c r="F828" s="304">
        <f t="shared" ca="1" si="358"/>
        <v>0.89683718578465843</v>
      </c>
      <c r="G828" s="306">
        <f t="shared" ca="1" si="359"/>
        <v>7.3951337374995934</v>
      </c>
      <c r="H828" s="307">
        <f t="shared" ca="1" si="360"/>
        <v>-104.34476595092731</v>
      </c>
      <c r="I828" s="304">
        <f t="shared" ca="1" si="361"/>
        <v>104.60649207553662</v>
      </c>
      <c r="J828" s="306">
        <f t="shared" ca="1" si="362"/>
        <v>839.7136314269211</v>
      </c>
      <c r="K828" s="307">
        <f t="shared" ca="1" si="363"/>
        <v>-3.9169794436290695</v>
      </c>
      <c r="L828" s="304">
        <f t="shared" ca="1" si="348"/>
        <v>839.72276706788705</v>
      </c>
      <c r="M828" s="306">
        <f t="shared" ca="1" si="364"/>
        <v>-1.5000425205312857</v>
      </c>
      <c r="N828" s="304">
        <f t="shared" ca="1" si="365"/>
        <v>-85.94610551660881</v>
      </c>
      <c r="P828" s="310">
        <f t="shared" ca="1" si="366"/>
        <v>23</v>
      </c>
      <c r="Q828" s="304">
        <f t="shared" ca="1" si="367"/>
        <v>0</v>
      </c>
      <c r="R828" s="306">
        <f t="shared" ca="1" si="368"/>
        <v>0</v>
      </c>
      <c r="S828" s="307">
        <f t="shared" ca="1" si="369"/>
        <v>2.9792999999999985</v>
      </c>
      <c r="T828" s="304">
        <f t="shared" ca="1" si="349"/>
        <v>29.226932999999988</v>
      </c>
      <c r="U828" s="311">
        <f t="shared" ca="1" si="350"/>
        <v>0</v>
      </c>
      <c r="V828" s="306">
        <f t="shared" ca="1" si="351"/>
        <v>1.2254799239744616</v>
      </c>
      <c r="W828" s="304">
        <f t="shared" ca="1" si="352"/>
        <v>27.459735355137695</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0.5686331704813643</v>
      </c>
      <c r="AH828" s="304">
        <f t="shared" ca="1" si="376"/>
        <v>-9.2168216858227385</v>
      </c>
    </row>
    <row r="829" spans="1:34" x14ac:dyDescent="0.2">
      <c r="A829" s="347">
        <f t="shared" ca="1" si="354"/>
        <v>1E-4</v>
      </c>
      <c r="B829" s="304">
        <f t="shared" ca="1" si="355"/>
        <v>37.032100000001286</v>
      </c>
      <c r="D829" s="306">
        <f t="shared" ca="1" si="356"/>
        <v>-0.65158263958858098</v>
      </c>
      <c r="E829" s="307">
        <f t="shared" ca="1" si="357"/>
        <v>-0.61621927352107519</v>
      </c>
      <c r="F829" s="304">
        <f t="shared" ca="1" si="358"/>
        <v>0.89682000940660567</v>
      </c>
      <c r="G829" s="306">
        <f t="shared" ca="1" si="359"/>
        <v>7.3950685792356348</v>
      </c>
      <c r="H829" s="307">
        <f t="shared" ca="1" si="360"/>
        <v>-104.34482757285467</v>
      </c>
      <c r="I829" s="304">
        <f t="shared" ca="1" si="361"/>
        <v>104.60654893695887</v>
      </c>
      <c r="J829" s="306">
        <f t="shared" ca="1" si="362"/>
        <v>839.7136314269211</v>
      </c>
      <c r="K829" s="307">
        <f t="shared" ca="1" si="363"/>
        <v>-3.9274139233052585</v>
      </c>
      <c r="L829" s="304">
        <f t="shared" ca="1" si="348"/>
        <v>839.72281580549668</v>
      </c>
      <c r="M829" s="306">
        <f t="shared" ca="1" si="364"/>
        <v>-1.5000431835068579</v>
      </c>
      <c r="N829" s="304">
        <f t="shared" ca="1" si="365"/>
        <v>-85.946143502311017</v>
      </c>
      <c r="P829" s="310">
        <f t="shared" ca="1" si="366"/>
        <v>23</v>
      </c>
      <c r="Q829" s="304">
        <f t="shared" ca="1" si="367"/>
        <v>0</v>
      </c>
      <c r="R829" s="306">
        <f t="shared" ca="1" si="368"/>
        <v>0</v>
      </c>
      <c r="S829" s="307">
        <f t="shared" ca="1" si="369"/>
        <v>2.9792999999999985</v>
      </c>
      <c r="T829" s="304">
        <f t="shared" ca="1" si="349"/>
        <v>29.226932999999988</v>
      </c>
      <c r="U829" s="311">
        <f t="shared" ca="1" si="350"/>
        <v>0</v>
      </c>
      <c r="V829" s="306">
        <f t="shared" ca="1" si="351"/>
        <v>1.2254812026997142</v>
      </c>
      <c r="W829" s="304">
        <f t="shared" ca="1" si="352"/>
        <v>27.459793860822224</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0.56861399258341905</v>
      </c>
      <c r="AH829" s="304">
        <f t="shared" ca="1" si="376"/>
        <v>-9.2168413235114652</v>
      </c>
    </row>
    <row r="830" spans="1:34" x14ac:dyDescent="0.2">
      <c r="A830" s="347">
        <f t="shared" ca="1" si="354"/>
        <v>1E-4</v>
      </c>
      <c r="B830" s="304">
        <f t="shared" ca="1" si="355"/>
        <v>37.032200000001289</v>
      </c>
      <c r="D830" s="306">
        <f t="shared" ca="1" si="356"/>
        <v>-0.65157793258472985</v>
      </c>
      <c r="E830" s="307">
        <f t="shared" ca="1" si="357"/>
        <v>-0.61619925327883251</v>
      </c>
      <c r="F830" s="304">
        <f t="shared" ca="1" si="358"/>
        <v>0.89680283338802036</v>
      </c>
      <c r="G830" s="306">
        <f t="shared" ca="1" si="359"/>
        <v>7.3950034214423761</v>
      </c>
      <c r="H830" s="307">
        <f t="shared" ca="1" si="360"/>
        <v>-104.34488919278</v>
      </c>
      <c r="I830" s="304">
        <f t="shared" ca="1" si="361"/>
        <v>104.60660579646336</v>
      </c>
      <c r="J830" s="306">
        <f t="shared" ca="1" si="362"/>
        <v>839.7136314269211</v>
      </c>
      <c r="K830" s="307">
        <f t="shared" ca="1" si="363"/>
        <v>-3.9378484091435402</v>
      </c>
      <c r="L830" s="304">
        <f t="shared" ca="1" si="348"/>
        <v>839.72286467279218</v>
      </c>
      <c r="M830" s="306">
        <f t="shared" ca="1" si="364"/>
        <v>-1.5000438464758679</v>
      </c>
      <c r="N830" s="304">
        <f t="shared" ca="1" si="365"/>
        <v>-85.946181487637233</v>
      </c>
      <c r="P830" s="310">
        <f t="shared" ca="1" si="366"/>
        <v>23</v>
      </c>
      <c r="Q830" s="304">
        <f t="shared" ca="1" si="367"/>
        <v>0</v>
      </c>
      <c r="R830" s="306">
        <f t="shared" ca="1" si="368"/>
        <v>0</v>
      </c>
      <c r="S830" s="307">
        <f t="shared" ca="1" si="369"/>
        <v>2.9792999999999985</v>
      </c>
      <c r="T830" s="304">
        <f t="shared" ca="1" si="349"/>
        <v>29.226932999999988</v>
      </c>
      <c r="U830" s="311">
        <f t="shared" ca="1" si="350"/>
        <v>0</v>
      </c>
      <c r="V830" s="306">
        <f t="shared" ca="1" si="351"/>
        <v>1.225482481427056</v>
      </c>
      <c r="W830" s="304">
        <f t="shared" ca="1" si="352"/>
        <v>27.459852365625242</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0.56859481497249398</v>
      </c>
      <c r="AH830" s="304">
        <f t="shared" ca="1" si="376"/>
        <v>-9.2168609609043184</v>
      </c>
    </row>
    <row r="831" spans="1:34" x14ac:dyDescent="0.2">
      <c r="A831" s="347">
        <f t="shared" ca="1" si="354"/>
        <v>1E-4</v>
      </c>
      <c r="B831" s="304">
        <f t="shared" ca="1" si="355"/>
        <v>37.032300000001293</v>
      </c>
      <c r="D831" s="306">
        <f t="shared" ca="1" si="356"/>
        <v>-0.65157322559403519</v>
      </c>
      <c r="E831" s="307">
        <f t="shared" ca="1" si="357"/>
        <v>-0.61617923333820457</v>
      </c>
      <c r="F831" s="304">
        <f t="shared" ca="1" si="358"/>
        <v>0.89678565772890961</v>
      </c>
      <c r="G831" s="306">
        <f t="shared" ca="1" si="359"/>
        <v>7.3949382641198165</v>
      </c>
      <c r="H831" s="307">
        <f t="shared" ca="1" si="360"/>
        <v>-104.34495081070334</v>
      </c>
      <c r="I831" s="304">
        <f t="shared" ca="1" si="361"/>
        <v>104.60666265405011</v>
      </c>
      <c r="J831" s="306">
        <f t="shared" ca="1" si="362"/>
        <v>839.7136314269211</v>
      </c>
      <c r="K831" s="307">
        <f t="shared" ca="1" si="363"/>
        <v>-3.9482829011437142</v>
      </c>
      <c r="L831" s="304">
        <f t="shared" ca="1" si="348"/>
        <v>839.7229136697739</v>
      </c>
      <c r="M831" s="306">
        <f t="shared" ca="1" si="364"/>
        <v>-1.5000445094383155</v>
      </c>
      <c r="N831" s="304">
        <f t="shared" ca="1" si="365"/>
        <v>-85.946219472587458</v>
      </c>
      <c r="P831" s="310">
        <f t="shared" ca="1" si="366"/>
        <v>23</v>
      </c>
      <c r="Q831" s="304">
        <f t="shared" ca="1" si="367"/>
        <v>0</v>
      </c>
      <c r="R831" s="306">
        <f t="shared" ca="1" si="368"/>
        <v>0</v>
      </c>
      <c r="S831" s="307">
        <f t="shared" ca="1" si="369"/>
        <v>2.9792999999999985</v>
      </c>
      <c r="T831" s="304">
        <f t="shared" ca="1" si="349"/>
        <v>29.226932999999988</v>
      </c>
      <c r="U831" s="311">
        <f t="shared" ca="1" si="350"/>
        <v>0</v>
      </c>
      <c r="V831" s="306">
        <f t="shared" ca="1" si="351"/>
        <v>1.2254837601564879</v>
      </c>
      <c r="W831" s="304">
        <f t="shared" ca="1" si="352"/>
        <v>27.459910869546778</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0.56857563764859265</v>
      </c>
      <c r="AH831" s="304">
        <f t="shared" ca="1" si="376"/>
        <v>-9.2168805980012944</v>
      </c>
    </row>
    <row r="832" spans="1:34" x14ac:dyDescent="0.2">
      <c r="A832" s="347">
        <f t="shared" ca="1" si="354"/>
        <v>1E-4</v>
      </c>
      <c r="B832" s="304">
        <f t="shared" ca="1" si="355"/>
        <v>37.032400000001296</v>
      </c>
      <c r="D832" s="306">
        <f t="shared" ca="1" si="356"/>
        <v>-0.65156851861649867</v>
      </c>
      <c r="E832" s="307">
        <f t="shared" ca="1" si="357"/>
        <v>-0.61615921369918247</v>
      </c>
      <c r="F832" s="304">
        <f t="shared" ca="1" si="358"/>
        <v>0.89676848242926854</v>
      </c>
      <c r="G832" s="306">
        <f t="shared" ca="1" si="359"/>
        <v>7.394873107267955</v>
      </c>
      <c r="H832" s="307">
        <f t="shared" ca="1" si="360"/>
        <v>-104.34501242662471</v>
      </c>
      <c r="I832" s="304">
        <f t="shared" ca="1" si="361"/>
        <v>104.60671950971916</v>
      </c>
      <c r="J832" s="306">
        <f t="shared" ca="1" si="362"/>
        <v>839.7136314269211</v>
      </c>
      <c r="K832" s="307">
        <f t="shared" ca="1" si="363"/>
        <v>-3.9587173993055806</v>
      </c>
      <c r="L832" s="304">
        <f t="shared" ca="1" si="348"/>
        <v>839.72296279644195</v>
      </c>
      <c r="M832" s="306">
        <f t="shared" ca="1" si="364"/>
        <v>-1.5000451723942012</v>
      </c>
      <c r="N832" s="304">
        <f t="shared" ca="1" si="365"/>
        <v>-85.946257457161721</v>
      </c>
      <c r="P832" s="310">
        <f t="shared" ca="1" si="366"/>
        <v>23</v>
      </c>
      <c r="Q832" s="304">
        <f t="shared" ca="1" si="367"/>
        <v>0</v>
      </c>
      <c r="R832" s="306">
        <f t="shared" ca="1" si="368"/>
        <v>0</v>
      </c>
      <c r="S832" s="307">
        <f t="shared" ca="1" si="369"/>
        <v>2.9792999999999985</v>
      </c>
      <c r="T832" s="304">
        <f t="shared" ca="1" si="349"/>
        <v>29.226932999999988</v>
      </c>
      <c r="U832" s="311">
        <f t="shared" ca="1" si="350"/>
        <v>0</v>
      </c>
      <c r="V832" s="306">
        <f t="shared" ca="1" si="351"/>
        <v>1.2254850388880094</v>
      </c>
      <c r="W832" s="304">
        <f t="shared" ca="1" si="352"/>
        <v>27.459969372586841</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0.56855646061170972</v>
      </c>
      <c r="AH832" s="304">
        <f t="shared" ca="1" si="376"/>
        <v>-9.2169002348024005</v>
      </c>
    </row>
    <row r="833" spans="1:34" x14ac:dyDescent="0.2">
      <c r="A833" s="347">
        <f t="shared" ca="1" si="354"/>
        <v>1E-4</v>
      </c>
      <c r="B833" s="304">
        <f t="shared" ca="1" si="355"/>
        <v>37.032500000001299</v>
      </c>
      <c r="D833" s="306">
        <f t="shared" ca="1" si="356"/>
        <v>-0.65156381165211741</v>
      </c>
      <c r="E833" s="307">
        <f t="shared" ca="1" si="357"/>
        <v>-0.6161391943617609</v>
      </c>
      <c r="F833" s="304">
        <f t="shared" ca="1" si="358"/>
        <v>0.89675130748909182</v>
      </c>
      <c r="G833" s="306">
        <f t="shared" ca="1" si="359"/>
        <v>7.3948079508867899</v>
      </c>
      <c r="H833" s="307">
        <f t="shared" ca="1" si="360"/>
        <v>-104.34507404054415</v>
      </c>
      <c r="I833" s="304">
        <f t="shared" ca="1" si="361"/>
        <v>104.60677636347053</v>
      </c>
      <c r="J833" s="306">
        <f t="shared" ca="1" si="362"/>
        <v>839.7136314269211</v>
      </c>
      <c r="K833" s="307">
        <f t="shared" ca="1" si="363"/>
        <v>-3.9691519036289389</v>
      </c>
      <c r="L833" s="304">
        <f t="shared" ca="1" si="348"/>
        <v>839.72301205279655</v>
      </c>
      <c r="M833" s="306">
        <f t="shared" ca="1" si="364"/>
        <v>-1.5000458353435251</v>
      </c>
      <c r="N833" s="304">
        <f t="shared" ca="1" si="365"/>
        <v>-85.946295441360007</v>
      </c>
      <c r="P833" s="310">
        <f t="shared" ca="1" si="366"/>
        <v>23</v>
      </c>
      <c r="Q833" s="304">
        <f t="shared" ca="1" si="367"/>
        <v>0</v>
      </c>
      <c r="R833" s="306">
        <f t="shared" ca="1" si="368"/>
        <v>0</v>
      </c>
      <c r="S833" s="307">
        <f t="shared" ca="1" si="369"/>
        <v>2.9792999999999985</v>
      </c>
      <c r="T833" s="304">
        <f t="shared" ca="1" si="349"/>
        <v>29.226932999999988</v>
      </c>
      <c r="U833" s="311">
        <f t="shared" ca="1" si="350"/>
        <v>0</v>
      </c>
      <c r="V833" s="306">
        <f t="shared" ca="1" si="351"/>
        <v>1.2254863176216202</v>
      </c>
      <c r="W833" s="304">
        <f t="shared" ca="1" si="352"/>
        <v>27.460027874745439</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0.56853728386184343</v>
      </c>
      <c r="AH833" s="304">
        <f t="shared" ca="1" si="376"/>
        <v>-9.2169198713076401</v>
      </c>
    </row>
    <row r="834" spans="1:34" x14ac:dyDescent="0.2">
      <c r="A834" s="347">
        <f t="shared" ca="1" si="354"/>
        <v>1E-4</v>
      </c>
      <c r="B834" s="304">
        <f t="shared" ca="1" si="355"/>
        <v>37.032600000001302</v>
      </c>
      <c r="D834" s="306">
        <f t="shared" ca="1" si="356"/>
        <v>-0.65155910470089295</v>
      </c>
      <c r="E834" s="307">
        <f t="shared" ca="1" si="357"/>
        <v>-0.61611917532593807</v>
      </c>
      <c r="F834" s="304">
        <f t="shared" ca="1" si="358"/>
        <v>0.89673413290837944</v>
      </c>
      <c r="G834" s="306">
        <f t="shared" ca="1" si="359"/>
        <v>7.3947427949763194</v>
      </c>
      <c r="H834" s="307">
        <f t="shared" ca="1" si="360"/>
        <v>-104.34513565246168</v>
      </c>
      <c r="I834" s="304">
        <f t="shared" ca="1" si="361"/>
        <v>104.60683321530426</v>
      </c>
      <c r="J834" s="306">
        <f t="shared" ca="1" si="362"/>
        <v>839.7136314269211</v>
      </c>
      <c r="K834" s="307">
        <f t="shared" ca="1" si="363"/>
        <v>-3.979586414113589</v>
      </c>
      <c r="L834" s="304">
        <f t="shared" ca="1" si="348"/>
        <v>839.72306143883804</v>
      </c>
      <c r="M834" s="306">
        <f t="shared" ca="1" si="364"/>
        <v>-1.5000464982862869</v>
      </c>
      <c r="N834" s="304">
        <f t="shared" ca="1" si="365"/>
        <v>-85.946333425182317</v>
      </c>
      <c r="P834" s="310">
        <f t="shared" ca="1" si="366"/>
        <v>23</v>
      </c>
      <c r="Q834" s="304">
        <f t="shared" ca="1" si="367"/>
        <v>0</v>
      </c>
      <c r="R834" s="306">
        <f t="shared" ca="1" si="368"/>
        <v>0</v>
      </c>
      <c r="S834" s="307">
        <f t="shared" ca="1" si="369"/>
        <v>2.9792999999999985</v>
      </c>
      <c r="T834" s="304">
        <f t="shared" ca="1" si="349"/>
        <v>29.226932999999988</v>
      </c>
      <c r="U834" s="311">
        <f t="shared" ca="1" si="350"/>
        <v>0</v>
      </c>
      <c r="V834" s="306">
        <f t="shared" ca="1" si="351"/>
        <v>1.2254875963573209</v>
      </c>
      <c r="W834" s="304">
        <f t="shared" ca="1" si="352"/>
        <v>27.460086376022577</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0.5685181073989849</v>
      </c>
      <c r="AH834" s="304">
        <f t="shared" ca="1" si="376"/>
        <v>-9.2169395075170186</v>
      </c>
    </row>
    <row r="835" spans="1:34" x14ac:dyDescent="0.2">
      <c r="A835" s="347">
        <f t="shared" ca="1" si="354"/>
        <v>1E-4</v>
      </c>
      <c r="B835" s="304">
        <f t="shared" ca="1" si="355"/>
        <v>37.032700000001306</v>
      </c>
      <c r="D835" s="306">
        <f t="shared" ca="1" si="356"/>
        <v>-0.65155439776282786</v>
      </c>
      <c r="E835" s="307">
        <f t="shared" ca="1" si="357"/>
        <v>-0.61609915659171222</v>
      </c>
      <c r="F835" s="304">
        <f t="shared" ca="1" si="358"/>
        <v>0.89671695868713253</v>
      </c>
      <c r="G835" s="306">
        <f t="shared" ca="1" si="359"/>
        <v>7.3946776395365434</v>
      </c>
      <c r="H835" s="307">
        <f t="shared" ca="1" si="360"/>
        <v>-104.34519726237734</v>
      </c>
      <c r="I835" s="304">
        <f t="shared" ca="1" si="361"/>
        <v>104.60689006522037</v>
      </c>
      <c r="J835" s="306">
        <f t="shared" ca="1" si="362"/>
        <v>839.7136314269211</v>
      </c>
      <c r="K835" s="307">
        <f t="shared" ca="1" si="363"/>
        <v>-3.9900209307593308</v>
      </c>
      <c r="L835" s="304">
        <f t="shared" ca="1" si="348"/>
        <v>839.72311095456644</v>
      </c>
      <c r="M835" s="306">
        <f t="shared" ca="1" si="364"/>
        <v>-1.500047161222487</v>
      </c>
      <c r="N835" s="304">
        <f t="shared" ca="1" si="365"/>
        <v>-85.946371408628664</v>
      </c>
      <c r="P835" s="310">
        <f t="shared" ca="1" si="366"/>
        <v>23</v>
      </c>
      <c r="Q835" s="304">
        <f t="shared" ca="1" si="367"/>
        <v>0</v>
      </c>
      <c r="R835" s="306">
        <f t="shared" ca="1" si="368"/>
        <v>0</v>
      </c>
      <c r="S835" s="307">
        <f t="shared" ca="1" si="369"/>
        <v>2.9792999999999985</v>
      </c>
      <c r="T835" s="304">
        <f t="shared" ca="1" si="349"/>
        <v>29.226932999999988</v>
      </c>
      <c r="U835" s="311">
        <f t="shared" ca="1" si="350"/>
        <v>0</v>
      </c>
      <c r="V835" s="306">
        <f t="shared" ca="1" si="351"/>
        <v>1.2254888750951112</v>
      </c>
      <c r="W835" s="304">
        <f t="shared" ca="1" si="352"/>
        <v>27.46014487641828</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0.56849893122313944</v>
      </c>
      <c r="AH835" s="304">
        <f t="shared" ca="1" si="376"/>
        <v>-9.2169591434305342</v>
      </c>
    </row>
    <row r="836" spans="1:34" x14ac:dyDescent="0.2">
      <c r="A836" s="347">
        <f t="shared" ca="1" si="354"/>
        <v>1E-4</v>
      </c>
      <c r="B836" s="304">
        <f t="shared" ca="1" si="355"/>
        <v>37.032800000001309</v>
      </c>
      <c r="D836" s="306">
        <f t="shared" ca="1" si="356"/>
        <v>-0.65154969083791991</v>
      </c>
      <c r="E836" s="307">
        <f t="shared" ca="1" si="357"/>
        <v>-0.61607913815907267</v>
      </c>
      <c r="F836" s="304">
        <f t="shared" ca="1" si="358"/>
        <v>0.89669978482534207</v>
      </c>
      <c r="G836" s="306">
        <f t="shared" ca="1" si="359"/>
        <v>7.3946124845674595</v>
      </c>
      <c r="H836" s="307">
        <f t="shared" ca="1" si="360"/>
        <v>-104.34525887029116</v>
      </c>
      <c r="I836" s="304">
        <f t="shared" ca="1" si="361"/>
        <v>104.60694691321891</v>
      </c>
      <c r="J836" s="306">
        <f t="shared" ca="1" si="362"/>
        <v>839.7136314269211</v>
      </c>
      <c r="K836" s="307">
        <f t="shared" ca="1" si="363"/>
        <v>-4.000455453565964</v>
      </c>
      <c r="L836" s="304">
        <f t="shared" ref="L836:L899" ca="1" si="377">SQRT(pos_x^2+pos_z^2)</f>
        <v>839.72316059998195</v>
      </c>
      <c r="M836" s="306">
        <f t="shared" ca="1" si="364"/>
        <v>-1.5000478241521256</v>
      </c>
      <c r="N836" s="304">
        <f t="shared" ca="1" si="365"/>
        <v>-85.946409391699078</v>
      </c>
      <c r="P836" s="310">
        <f t="shared" ca="1" si="366"/>
        <v>23</v>
      </c>
      <c r="Q836" s="304">
        <f t="shared" ca="1" si="367"/>
        <v>0</v>
      </c>
      <c r="R836" s="306">
        <f t="shared" ca="1" si="368"/>
        <v>0</v>
      </c>
      <c r="S836" s="307">
        <f t="shared" ca="1" si="369"/>
        <v>2.9792999999999985</v>
      </c>
      <c r="T836" s="304">
        <f t="shared" ref="T836:T899" ca="1" si="378">m*g</f>
        <v>29.226932999999988</v>
      </c>
      <c r="U836" s="311">
        <f t="shared" ref="U836:U899" ca="1" si="379">IF(pos_xz&lt;L_rampe,Poids*COS(Beta),0)</f>
        <v>0</v>
      </c>
      <c r="V836" s="306">
        <f t="shared" ref="V836:V899" ca="1" si="380">Rho_moyen*(20000-Alt_rampe-pos_z)/(20000+Alt_rampe+pos_z)</f>
        <v>1.2254901538349912</v>
      </c>
      <c r="W836" s="304">
        <f t="shared" ref="W836:W899" ca="1" si="381">1/2*Rho*Sref*Cx*vit_xz^2</f>
        <v>27.460203375932551</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0.56847975533429285</v>
      </c>
      <c r="AH836" s="304">
        <f t="shared" ca="1" si="376"/>
        <v>-9.2169787790481976</v>
      </c>
    </row>
    <row r="837" spans="1:34" x14ac:dyDescent="0.2">
      <c r="A837" s="347">
        <f t="shared" ref="A837:A900" ca="1" si="383">IF(B836+0.01&lt;=T_ini+ROUNDUP(Temps_fin_propu,0), 0.01, IF(K836&gt;0, 0.1, 0.0001))</f>
        <v>1E-4</v>
      </c>
      <c r="B837" s="304">
        <f t="shared" ref="B837:B900" ca="1" si="384">B836+pas</f>
        <v>37.032900000001312</v>
      </c>
      <c r="D837" s="306">
        <f t="shared" ref="D837:D900" ca="1" si="385">IF(AND(L836&lt;L_rampe,Poussee&lt;Poids*SIN(M836)),0,(-W836+Poussee)/m*COS(M836)-U836/m*SIN(M836))</f>
        <v>-0.65154498392617011</v>
      </c>
      <c r="E837" s="307">
        <f t="shared" ref="E837:E900" ca="1" si="386">IF(AND(L836&lt;L_rampe,Poussee&lt;Poids*SIN(M836)),0,(-W836+Poussee)/m*SIN(M836)+U836/m*COS(M836)-Poids/m)</f>
        <v>-0.61605912002802299</v>
      </c>
      <c r="F837" s="304">
        <f t="shared" ref="F837:F900" ca="1" si="387">SQRT(acc_x^2+acc_z^2)</f>
        <v>0.89668261132301175</v>
      </c>
      <c r="G837" s="306">
        <f t="shared" ref="G837:G900" ca="1" si="388">G836+acc_x*pas</f>
        <v>7.3945473300690665</v>
      </c>
      <c r="H837" s="307">
        <f t="shared" ref="H837:H900" ca="1" si="389">H836+acc_z*pas</f>
        <v>-104.34532047620317</v>
      </c>
      <c r="I837" s="304">
        <f t="shared" ref="I837:I900" ca="1" si="390">SQRT(vit_x^2+vit_z^2)</f>
        <v>104.60700375929987</v>
      </c>
      <c r="J837" s="306">
        <f t="shared" ref="J837:J900" ca="1" si="391">J836+0.5*(vit_x+G836)*pas*(K836&gt;=0)</f>
        <v>839.7136314269211</v>
      </c>
      <c r="K837" s="307">
        <f t="shared" ref="K837:K900" ca="1" si="392">K836+0.5*(vit_z+H836)*pas</f>
        <v>-4.0108899825332891</v>
      </c>
      <c r="L837" s="304">
        <f t="shared" ca="1" si="377"/>
        <v>839.72321037508482</v>
      </c>
      <c r="M837" s="306">
        <f t="shared" ref="M837:M900" ca="1" si="393">IF(AND(L836&gt;L_rampe,G837&gt;0),ATAN2(G837,H837),$M$4)</f>
        <v>-1.5000484870752024</v>
      </c>
      <c r="N837" s="304">
        <f t="shared" ref="N837:N900" ca="1" si="394">DEGREES(Beta)</f>
        <v>-85.946447374393514</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2.9792999999999985</v>
      </c>
      <c r="T837" s="304">
        <f t="shared" ca="1" si="378"/>
        <v>29.226932999999988</v>
      </c>
      <c r="U837" s="311">
        <f t="shared" ca="1" si="379"/>
        <v>0</v>
      </c>
      <c r="V837" s="306">
        <f t="shared" ca="1" si="380"/>
        <v>1.2254914325769601</v>
      </c>
      <c r="W837" s="304">
        <f t="shared" ca="1" si="381"/>
        <v>27.460261874565379</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0.56846057973245046</v>
      </c>
      <c r="AH837" s="304">
        <f t="shared" ref="AH837:AH900" ca="1" si="405">IF(AND(L836&lt;L_rampe,Poussee&lt;Poids*SIN(M836)), g*SIN(M836), (-W836+Poussee)/m)</f>
        <v>-9.2169984143700088</v>
      </c>
    </row>
    <row r="838" spans="1:34" x14ac:dyDescent="0.2">
      <c r="A838" s="347">
        <f t="shared" ca="1" si="383"/>
        <v>1E-4</v>
      </c>
      <c r="B838" s="304">
        <f t="shared" ca="1" si="384"/>
        <v>37.033000000001316</v>
      </c>
      <c r="D838" s="306">
        <f t="shared" ca="1" si="385"/>
        <v>-0.651540277027579</v>
      </c>
      <c r="E838" s="307">
        <f t="shared" ca="1" si="386"/>
        <v>-0.61603910219856495</v>
      </c>
      <c r="F838" s="304">
        <f t="shared" ca="1" si="387"/>
        <v>0.89666543818014321</v>
      </c>
      <c r="G838" s="306">
        <f t="shared" ca="1" si="388"/>
        <v>7.3944821760413637</v>
      </c>
      <c r="H838" s="307">
        <f t="shared" ca="1" si="389"/>
        <v>-104.3453820801134</v>
      </c>
      <c r="I838" s="304">
        <f t="shared" ca="1" si="390"/>
        <v>104.6070606034633</v>
      </c>
      <c r="J838" s="306">
        <f t="shared" ca="1" si="391"/>
        <v>839.7136314269211</v>
      </c>
      <c r="K838" s="307">
        <f t="shared" ca="1" si="392"/>
        <v>-4.021324517661105</v>
      </c>
      <c r="L838" s="304">
        <f t="shared" ca="1" si="377"/>
        <v>839.72326027987549</v>
      </c>
      <c r="M838" s="306">
        <f t="shared" ca="1" si="393"/>
        <v>-1.5000491499917177</v>
      </c>
      <c r="N838" s="304">
        <f t="shared" ca="1" si="394"/>
        <v>-85.946485356712017</v>
      </c>
      <c r="P838" s="310">
        <f t="shared" ca="1" si="395"/>
        <v>23</v>
      </c>
      <c r="Q838" s="304">
        <f t="shared" ca="1" si="396"/>
        <v>0</v>
      </c>
      <c r="R838" s="306">
        <f t="shared" ca="1" si="397"/>
        <v>0</v>
      </c>
      <c r="S838" s="307">
        <f t="shared" ca="1" si="398"/>
        <v>2.9792999999999985</v>
      </c>
      <c r="T838" s="304">
        <f t="shared" ca="1" si="378"/>
        <v>29.226932999999988</v>
      </c>
      <c r="U838" s="311">
        <f t="shared" ca="1" si="379"/>
        <v>0</v>
      </c>
      <c r="V838" s="306">
        <f t="shared" ca="1" si="380"/>
        <v>1.2254927113210192</v>
      </c>
      <c r="W838" s="304">
        <f t="shared" ca="1" si="381"/>
        <v>27.460320372316804</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0.56844140441761404</v>
      </c>
      <c r="AH838" s="304">
        <f t="shared" ca="1" si="405"/>
        <v>-9.2170180493959624</v>
      </c>
    </row>
    <row r="839" spans="1:34" x14ac:dyDescent="0.2">
      <c r="A839" s="347">
        <f t="shared" ca="1" si="383"/>
        <v>1E-4</v>
      </c>
      <c r="B839" s="304">
        <f t="shared" ca="1" si="384"/>
        <v>37.033100000001319</v>
      </c>
      <c r="D839" s="306">
        <f t="shared" ca="1" si="385"/>
        <v>-0.65153557014214891</v>
      </c>
      <c r="E839" s="307">
        <f t="shared" ca="1" si="386"/>
        <v>-0.61601908467068256</v>
      </c>
      <c r="F839" s="304">
        <f t="shared" ca="1" si="387"/>
        <v>0.89664826539672771</v>
      </c>
      <c r="G839" s="306">
        <f t="shared" ca="1" si="388"/>
        <v>7.3944170224843493</v>
      </c>
      <c r="H839" s="307">
        <f t="shared" ca="1" si="389"/>
        <v>-104.34544368202187</v>
      </c>
      <c r="I839" s="304">
        <f t="shared" ca="1" si="390"/>
        <v>104.60711744570922</v>
      </c>
      <c r="J839" s="306">
        <f t="shared" ca="1" si="391"/>
        <v>839.7136314269211</v>
      </c>
      <c r="K839" s="307">
        <f t="shared" ca="1" si="392"/>
        <v>-4.0317590589492118</v>
      </c>
      <c r="L839" s="304">
        <f t="shared" ca="1" si="377"/>
        <v>839.72331031435385</v>
      </c>
      <c r="M839" s="306">
        <f t="shared" ca="1" si="393"/>
        <v>-1.5000498129016715</v>
      </c>
      <c r="N839" s="304">
        <f t="shared" ca="1" si="394"/>
        <v>-85.946523338654558</v>
      </c>
      <c r="P839" s="310">
        <f t="shared" ca="1" si="395"/>
        <v>23</v>
      </c>
      <c r="Q839" s="304">
        <f t="shared" ca="1" si="396"/>
        <v>0</v>
      </c>
      <c r="R839" s="306">
        <f t="shared" ca="1" si="397"/>
        <v>0</v>
      </c>
      <c r="S839" s="307">
        <f t="shared" ca="1" si="398"/>
        <v>2.9792999999999985</v>
      </c>
      <c r="T839" s="304">
        <f t="shared" ca="1" si="378"/>
        <v>29.226932999999988</v>
      </c>
      <c r="U839" s="311">
        <f t="shared" ca="1" si="379"/>
        <v>0</v>
      </c>
      <c r="V839" s="306">
        <f t="shared" ca="1" si="380"/>
        <v>1.2254939900671675</v>
      </c>
      <c r="W839" s="304">
        <f t="shared" ca="1" si="381"/>
        <v>27.460378869186815</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0.56842222938976761</v>
      </c>
      <c r="AH839" s="304">
        <f t="shared" ca="1" si="405"/>
        <v>-9.2170376841260762</v>
      </c>
    </row>
    <row r="840" spans="1:34" x14ac:dyDescent="0.2">
      <c r="A840" s="347">
        <f t="shared" ca="1" si="383"/>
        <v>1E-4</v>
      </c>
      <c r="B840" s="304">
        <f t="shared" ca="1" si="384"/>
        <v>37.033200000001322</v>
      </c>
      <c r="D840" s="306">
        <f t="shared" ca="1" si="385"/>
        <v>-0.6515308632698783</v>
      </c>
      <c r="E840" s="307">
        <f t="shared" ca="1" si="386"/>
        <v>-0.61599906744438115</v>
      </c>
      <c r="F840" s="304">
        <f t="shared" ca="1" si="387"/>
        <v>0.89663109297276766</v>
      </c>
      <c r="G840" s="306">
        <f t="shared" ca="1" si="388"/>
        <v>7.3943518693980224</v>
      </c>
      <c r="H840" s="307">
        <f t="shared" ca="1" si="389"/>
        <v>-104.34550528192861</v>
      </c>
      <c r="I840" s="304">
        <f t="shared" ca="1" si="390"/>
        <v>104.60717428603768</v>
      </c>
      <c r="J840" s="306">
        <f t="shared" ca="1" si="391"/>
        <v>839.7136314269211</v>
      </c>
      <c r="K840" s="307">
        <f t="shared" ca="1" si="392"/>
        <v>-4.0421936063974098</v>
      </c>
      <c r="L840" s="304">
        <f t="shared" ca="1" si="377"/>
        <v>839.72336047852014</v>
      </c>
      <c r="M840" s="306">
        <f t="shared" ca="1" si="393"/>
        <v>-1.5000504758050639</v>
      </c>
      <c r="N840" s="304">
        <f t="shared" ca="1" si="394"/>
        <v>-85.946561320221164</v>
      </c>
      <c r="P840" s="310">
        <f t="shared" ca="1" si="395"/>
        <v>23</v>
      </c>
      <c r="Q840" s="304">
        <f t="shared" ca="1" si="396"/>
        <v>0</v>
      </c>
      <c r="R840" s="306">
        <f t="shared" ca="1" si="397"/>
        <v>0</v>
      </c>
      <c r="S840" s="307">
        <f t="shared" ca="1" si="398"/>
        <v>2.9792999999999985</v>
      </c>
      <c r="T840" s="304">
        <f t="shared" ca="1" si="378"/>
        <v>29.226932999999988</v>
      </c>
      <c r="U840" s="311">
        <f t="shared" ca="1" si="379"/>
        <v>0</v>
      </c>
      <c r="V840" s="306">
        <f t="shared" ca="1" si="380"/>
        <v>1.2254952688154057</v>
      </c>
      <c r="W840" s="304">
        <f t="shared" ca="1" si="381"/>
        <v>27.460437365175441</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0.56840305464891649</v>
      </c>
      <c r="AH840" s="304">
        <f t="shared" ca="1" si="405"/>
        <v>-9.217057318560343</v>
      </c>
    </row>
    <row r="841" spans="1:34" x14ac:dyDescent="0.2">
      <c r="A841" s="347">
        <f t="shared" ca="1" si="383"/>
        <v>1E-4</v>
      </c>
      <c r="B841" s="304">
        <f t="shared" ca="1" si="384"/>
        <v>37.033300000001326</v>
      </c>
      <c r="D841" s="306">
        <f t="shared" ca="1" si="385"/>
        <v>-0.65152615641076883</v>
      </c>
      <c r="E841" s="307">
        <f t="shared" ca="1" si="386"/>
        <v>-0.61597905051965185</v>
      </c>
      <c r="F841" s="304">
        <f t="shared" ca="1" si="387"/>
        <v>0.89661392090825875</v>
      </c>
      <c r="G841" s="306">
        <f t="shared" ca="1" si="388"/>
        <v>7.3942867167823811</v>
      </c>
      <c r="H841" s="307">
        <f t="shared" ca="1" si="389"/>
        <v>-104.34556687983365</v>
      </c>
      <c r="I841" s="304">
        <f t="shared" ca="1" si="390"/>
        <v>104.60723112444867</v>
      </c>
      <c r="J841" s="306">
        <f t="shared" ca="1" si="391"/>
        <v>839.7136314269211</v>
      </c>
      <c r="K841" s="307">
        <f t="shared" ca="1" si="392"/>
        <v>-4.0526281600054981</v>
      </c>
      <c r="L841" s="304">
        <f t="shared" ca="1" si="377"/>
        <v>839.72341077237479</v>
      </c>
      <c r="M841" s="306">
        <f t="shared" ca="1" si="393"/>
        <v>-1.5000511387018949</v>
      </c>
      <c r="N841" s="304">
        <f t="shared" ca="1" si="394"/>
        <v>-85.946599301411837</v>
      </c>
      <c r="P841" s="310">
        <f t="shared" ca="1" si="395"/>
        <v>23</v>
      </c>
      <c r="Q841" s="304">
        <f t="shared" ca="1" si="396"/>
        <v>0</v>
      </c>
      <c r="R841" s="306">
        <f t="shared" ca="1" si="397"/>
        <v>0</v>
      </c>
      <c r="S841" s="307">
        <f t="shared" ca="1" si="398"/>
        <v>2.9792999999999985</v>
      </c>
      <c r="T841" s="304">
        <f t="shared" ca="1" si="378"/>
        <v>29.226932999999988</v>
      </c>
      <c r="U841" s="311">
        <f t="shared" ca="1" si="379"/>
        <v>0</v>
      </c>
      <c r="V841" s="306">
        <f t="shared" ca="1" si="380"/>
        <v>1.2254965475657333</v>
      </c>
      <c r="W841" s="304">
        <f t="shared" ca="1" si="381"/>
        <v>27.460495860282673</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0.56838388019505182</v>
      </c>
      <c r="AH841" s="304">
        <f t="shared" ca="1" si="405"/>
        <v>-9.2170769526987737</v>
      </c>
    </row>
    <row r="842" spans="1:34" x14ac:dyDescent="0.2">
      <c r="A842" s="347">
        <f t="shared" ca="1" si="383"/>
        <v>1E-4</v>
      </c>
      <c r="B842" s="304">
        <f t="shared" ca="1" si="384"/>
        <v>37.033400000001329</v>
      </c>
      <c r="D842" s="306">
        <f t="shared" ca="1" si="385"/>
        <v>-0.65152144956482128</v>
      </c>
      <c r="E842" s="307">
        <f t="shared" ca="1" si="386"/>
        <v>-0.6159590338964982</v>
      </c>
      <c r="F842" s="304">
        <f t="shared" ca="1" si="387"/>
        <v>0.8965967492032042</v>
      </c>
      <c r="G842" s="306">
        <f t="shared" ca="1" si="388"/>
        <v>7.3942215646374247</v>
      </c>
      <c r="H842" s="307">
        <f t="shared" ca="1" si="389"/>
        <v>-104.34562847573704</v>
      </c>
      <c r="I842" s="304">
        <f t="shared" ca="1" si="390"/>
        <v>104.60728796094226</v>
      </c>
      <c r="J842" s="306">
        <f t="shared" ca="1" si="391"/>
        <v>839.7136314269211</v>
      </c>
      <c r="K842" s="307">
        <f t="shared" ca="1" si="392"/>
        <v>-4.0630627197732769</v>
      </c>
      <c r="L842" s="304">
        <f t="shared" ca="1" si="377"/>
        <v>839.72346119591771</v>
      </c>
      <c r="M842" s="306">
        <f t="shared" ca="1" si="393"/>
        <v>-1.5000518015921649</v>
      </c>
      <c r="N842" s="304">
        <f t="shared" ca="1" si="394"/>
        <v>-85.94663728222659</v>
      </c>
      <c r="P842" s="310">
        <f t="shared" ca="1" si="395"/>
        <v>23</v>
      </c>
      <c r="Q842" s="304">
        <f t="shared" ca="1" si="396"/>
        <v>0</v>
      </c>
      <c r="R842" s="306">
        <f t="shared" ca="1" si="397"/>
        <v>0</v>
      </c>
      <c r="S842" s="307">
        <f t="shared" ca="1" si="398"/>
        <v>2.9792999999999985</v>
      </c>
      <c r="T842" s="304">
        <f t="shared" ca="1" si="378"/>
        <v>29.226932999999988</v>
      </c>
      <c r="U842" s="311">
        <f t="shared" ca="1" si="379"/>
        <v>0</v>
      </c>
      <c r="V842" s="306">
        <f t="shared" ca="1" si="380"/>
        <v>1.2254978263181497</v>
      </c>
      <c r="W842" s="304">
        <f t="shared" ca="1" si="381"/>
        <v>27.46055435450852</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0.56836470602817712</v>
      </c>
      <c r="AH842" s="304">
        <f t="shared" ca="1" si="405"/>
        <v>-9.2170965865413645</v>
      </c>
    </row>
    <row r="843" spans="1:34" x14ac:dyDescent="0.2">
      <c r="A843" s="347">
        <f t="shared" ca="1" si="383"/>
        <v>1E-4</v>
      </c>
      <c r="B843" s="304">
        <f t="shared" ca="1" si="384"/>
        <v>37.033500000001332</v>
      </c>
      <c r="D843" s="306">
        <f t="shared" ca="1" si="385"/>
        <v>-0.65151674273203275</v>
      </c>
      <c r="E843" s="307">
        <f t="shared" ca="1" si="386"/>
        <v>-0.61593901757491487</v>
      </c>
      <c r="F843" s="304">
        <f t="shared" ca="1" si="387"/>
        <v>0.89657957785759823</v>
      </c>
      <c r="G843" s="306">
        <f t="shared" ca="1" si="388"/>
        <v>7.3941564129631514</v>
      </c>
      <c r="H843" s="307">
        <f t="shared" ca="1" si="389"/>
        <v>-104.34569006963881</v>
      </c>
      <c r="I843" s="304">
        <f t="shared" ca="1" si="390"/>
        <v>104.60734479551846</v>
      </c>
      <c r="J843" s="306">
        <f t="shared" ca="1" si="391"/>
        <v>839.7136314269211</v>
      </c>
      <c r="K843" s="307">
        <f t="shared" ca="1" si="392"/>
        <v>-4.0734972857005456</v>
      </c>
      <c r="L843" s="304">
        <f t="shared" ca="1" si="377"/>
        <v>839.72351174914934</v>
      </c>
      <c r="M843" s="306">
        <f t="shared" ca="1" si="393"/>
        <v>-1.5000524644758735</v>
      </c>
      <c r="N843" s="304">
        <f t="shared" ca="1" si="394"/>
        <v>-85.946675262665394</v>
      </c>
      <c r="P843" s="310">
        <f t="shared" ca="1" si="395"/>
        <v>23</v>
      </c>
      <c r="Q843" s="304">
        <f t="shared" ca="1" si="396"/>
        <v>0</v>
      </c>
      <c r="R843" s="306">
        <f t="shared" ca="1" si="397"/>
        <v>0</v>
      </c>
      <c r="S843" s="307">
        <f t="shared" ca="1" si="398"/>
        <v>2.9792999999999985</v>
      </c>
      <c r="T843" s="304">
        <f t="shared" ca="1" si="378"/>
        <v>29.226932999999988</v>
      </c>
      <c r="U843" s="311">
        <f t="shared" ca="1" si="379"/>
        <v>0</v>
      </c>
      <c r="V843" s="306">
        <f t="shared" ca="1" si="380"/>
        <v>1.225499105072656</v>
      </c>
      <c r="W843" s="304">
        <f t="shared" ca="1" si="381"/>
        <v>27.460612847853007</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0.56834553214828887</v>
      </c>
      <c r="AH843" s="304">
        <f t="shared" ca="1" si="405"/>
        <v>-9.2171162200881191</v>
      </c>
    </row>
    <row r="844" spans="1:34" x14ac:dyDescent="0.2">
      <c r="A844" s="347">
        <f t="shared" ca="1" si="383"/>
        <v>1E-4</v>
      </c>
      <c r="B844" s="304">
        <f t="shared" ca="1" si="384"/>
        <v>37.033600000001336</v>
      </c>
      <c r="D844" s="306">
        <f t="shared" ca="1" si="385"/>
        <v>-0.65151203591240892</v>
      </c>
      <c r="E844" s="307">
        <f t="shared" ca="1" si="386"/>
        <v>-0.61591900155489299</v>
      </c>
      <c r="F844" s="304">
        <f t="shared" ca="1" si="387"/>
        <v>0.8965624068714394</v>
      </c>
      <c r="G844" s="306">
        <f t="shared" ca="1" si="388"/>
        <v>7.3940912617595602</v>
      </c>
      <c r="H844" s="307">
        <f t="shared" ca="1" si="389"/>
        <v>-104.34575166153896</v>
      </c>
      <c r="I844" s="304">
        <f t="shared" ca="1" si="390"/>
        <v>104.60740162817729</v>
      </c>
      <c r="J844" s="306">
        <f t="shared" ca="1" si="391"/>
        <v>839.7136314269211</v>
      </c>
      <c r="K844" s="307">
        <f t="shared" ca="1" si="392"/>
        <v>-4.0839318577871042</v>
      </c>
      <c r="L844" s="304">
        <f t="shared" ca="1" si="377"/>
        <v>839.72356243206968</v>
      </c>
      <c r="M844" s="306">
        <f t="shared" ca="1" si="393"/>
        <v>-1.5000531273530213</v>
      </c>
      <c r="N844" s="304">
        <f t="shared" ca="1" si="394"/>
        <v>-85.946713242728308</v>
      </c>
      <c r="P844" s="310">
        <f t="shared" ca="1" si="395"/>
        <v>23</v>
      </c>
      <c r="Q844" s="304">
        <f t="shared" ca="1" si="396"/>
        <v>0</v>
      </c>
      <c r="R844" s="306">
        <f t="shared" ca="1" si="397"/>
        <v>0</v>
      </c>
      <c r="S844" s="307">
        <f t="shared" ca="1" si="398"/>
        <v>2.9792999999999985</v>
      </c>
      <c r="T844" s="304">
        <f t="shared" ca="1" si="378"/>
        <v>29.226932999999988</v>
      </c>
      <c r="U844" s="311">
        <f t="shared" ca="1" si="379"/>
        <v>0</v>
      </c>
      <c r="V844" s="306">
        <f t="shared" ca="1" si="380"/>
        <v>1.225500383829252</v>
      </c>
      <c r="W844" s="304">
        <f t="shared" ca="1" si="381"/>
        <v>27.460671340316146</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0.56832635855537816</v>
      </c>
      <c r="AH844" s="304">
        <f t="shared" ca="1" si="405"/>
        <v>-9.2171358533390464</v>
      </c>
    </row>
    <row r="845" spans="1:34" x14ac:dyDescent="0.2">
      <c r="A845" s="347">
        <f t="shared" ca="1" si="383"/>
        <v>1E-4</v>
      </c>
      <c r="B845" s="304">
        <f t="shared" ca="1" si="384"/>
        <v>37.033700000001339</v>
      </c>
      <c r="D845" s="306">
        <f t="shared" ca="1" si="385"/>
        <v>-0.651507329105945</v>
      </c>
      <c r="E845" s="307">
        <f t="shared" ca="1" si="386"/>
        <v>-0.61589898583643077</v>
      </c>
      <c r="F845" s="304">
        <f t="shared" ca="1" si="387"/>
        <v>0.89654523624472293</v>
      </c>
      <c r="G845" s="306">
        <f t="shared" ca="1" si="388"/>
        <v>7.3940261110266494</v>
      </c>
      <c r="H845" s="307">
        <f t="shared" ca="1" si="389"/>
        <v>-104.34581325143753</v>
      </c>
      <c r="I845" s="304">
        <f t="shared" ca="1" si="390"/>
        <v>104.60745845891879</v>
      </c>
      <c r="J845" s="306">
        <f t="shared" ca="1" si="391"/>
        <v>839.7136314269211</v>
      </c>
      <c r="K845" s="307">
        <f t="shared" ca="1" si="392"/>
        <v>-4.094366436032753</v>
      </c>
      <c r="L845" s="304">
        <f t="shared" ca="1" si="377"/>
        <v>839.7236132446792</v>
      </c>
      <c r="M845" s="306">
        <f t="shared" ca="1" si="393"/>
        <v>-1.500053790223608</v>
      </c>
      <c r="N845" s="304">
        <f t="shared" ca="1" si="394"/>
        <v>-85.946751222415287</v>
      </c>
      <c r="P845" s="310">
        <f t="shared" ca="1" si="395"/>
        <v>23</v>
      </c>
      <c r="Q845" s="304">
        <f t="shared" ca="1" si="396"/>
        <v>0</v>
      </c>
      <c r="R845" s="306">
        <f t="shared" ca="1" si="397"/>
        <v>0</v>
      </c>
      <c r="S845" s="307">
        <f t="shared" ca="1" si="398"/>
        <v>2.9792999999999985</v>
      </c>
      <c r="T845" s="304">
        <f t="shared" ca="1" si="378"/>
        <v>29.226932999999988</v>
      </c>
      <c r="U845" s="311">
        <f t="shared" ca="1" si="379"/>
        <v>0</v>
      </c>
      <c r="V845" s="306">
        <f t="shared" ca="1" si="380"/>
        <v>1.2255016625879369</v>
      </c>
      <c r="W845" s="304">
        <f t="shared" ca="1" si="381"/>
        <v>27.460729831897932</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0.56830718524944146</v>
      </c>
      <c r="AH845" s="304">
        <f t="shared" ca="1" si="405"/>
        <v>-9.2171554862941498</v>
      </c>
    </row>
    <row r="846" spans="1:34" x14ac:dyDescent="0.2">
      <c r="A846" s="347">
        <f t="shared" ca="1" si="383"/>
        <v>1E-4</v>
      </c>
      <c r="B846" s="304">
        <f t="shared" ca="1" si="384"/>
        <v>37.033800000001342</v>
      </c>
      <c r="D846" s="306">
        <f t="shared" ca="1" si="385"/>
        <v>-0.65150262231264577</v>
      </c>
      <c r="E846" s="307">
        <f t="shared" ca="1" si="386"/>
        <v>-0.61587897041952822</v>
      </c>
      <c r="F846" s="304">
        <f t="shared" ca="1" si="387"/>
        <v>0.89652806597745283</v>
      </c>
      <c r="G846" s="306">
        <f t="shared" ca="1" si="388"/>
        <v>7.3939609607644181</v>
      </c>
      <c r="H846" s="307">
        <f t="shared" ca="1" si="389"/>
        <v>-104.34587483933457</v>
      </c>
      <c r="I846" s="304">
        <f t="shared" ca="1" si="390"/>
        <v>104.607515287743</v>
      </c>
      <c r="J846" s="306">
        <f t="shared" ca="1" si="391"/>
        <v>839.7136314269211</v>
      </c>
      <c r="K846" s="307">
        <f t="shared" ca="1" si="392"/>
        <v>-4.104801020437292</v>
      </c>
      <c r="L846" s="304">
        <f t="shared" ca="1" si="377"/>
        <v>839.72366418697789</v>
      </c>
      <c r="M846" s="306">
        <f t="shared" ca="1" si="393"/>
        <v>-1.5000544530876336</v>
      </c>
      <c r="N846" s="304">
        <f t="shared" ca="1" si="394"/>
        <v>-85.946789201726347</v>
      </c>
      <c r="P846" s="310">
        <f t="shared" ca="1" si="395"/>
        <v>23</v>
      </c>
      <c r="Q846" s="304">
        <f t="shared" ca="1" si="396"/>
        <v>0</v>
      </c>
      <c r="R846" s="306">
        <f t="shared" ca="1" si="397"/>
        <v>0</v>
      </c>
      <c r="S846" s="307">
        <f t="shared" ca="1" si="398"/>
        <v>2.9792999999999985</v>
      </c>
      <c r="T846" s="304">
        <f t="shared" ca="1" si="378"/>
        <v>29.226932999999988</v>
      </c>
      <c r="U846" s="311">
        <f t="shared" ca="1" si="379"/>
        <v>0</v>
      </c>
      <c r="V846" s="306">
        <f t="shared" ca="1" si="380"/>
        <v>1.2255029413487115</v>
      </c>
      <c r="W846" s="304">
        <f t="shared" ca="1" si="381"/>
        <v>27.460788322598397</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0.56828801223048231</v>
      </c>
      <c r="AH846" s="304">
        <f t="shared" ca="1" si="405"/>
        <v>-9.2171751189534277</v>
      </c>
    </row>
    <row r="847" spans="1:34" x14ac:dyDescent="0.2">
      <c r="A847" s="347">
        <f t="shared" ca="1" si="383"/>
        <v>1E-4</v>
      </c>
      <c r="B847" s="304">
        <f t="shared" ca="1" si="384"/>
        <v>37.033900000001346</v>
      </c>
      <c r="D847" s="306">
        <f t="shared" ca="1" si="385"/>
        <v>-0.65149791553251113</v>
      </c>
      <c r="E847" s="307">
        <f t="shared" ca="1" si="386"/>
        <v>-0.61585895530417645</v>
      </c>
      <c r="F847" s="304">
        <f t="shared" ca="1" si="387"/>
        <v>0.89651089606962309</v>
      </c>
      <c r="G847" s="306">
        <f t="shared" ca="1" si="388"/>
        <v>7.3938958109728645</v>
      </c>
      <c r="H847" s="307">
        <f t="shared" ca="1" si="389"/>
        <v>-104.34593642523011</v>
      </c>
      <c r="I847" s="304">
        <f t="shared" ca="1" si="390"/>
        <v>104.60757211464993</v>
      </c>
      <c r="J847" s="306">
        <f t="shared" ca="1" si="391"/>
        <v>839.7136314269211</v>
      </c>
      <c r="K847" s="307">
        <f t="shared" ca="1" si="392"/>
        <v>-4.1152356110005206</v>
      </c>
      <c r="L847" s="304">
        <f t="shared" ca="1" si="377"/>
        <v>839.72371525896608</v>
      </c>
      <c r="M847" s="306">
        <f t="shared" ca="1" si="393"/>
        <v>-1.5000551159450988</v>
      </c>
      <c r="N847" s="304">
        <f t="shared" ca="1" si="394"/>
        <v>-85.946827180661515</v>
      </c>
      <c r="P847" s="310">
        <f t="shared" ca="1" si="395"/>
        <v>23</v>
      </c>
      <c r="Q847" s="304">
        <f t="shared" ca="1" si="396"/>
        <v>0</v>
      </c>
      <c r="R847" s="306">
        <f t="shared" ca="1" si="397"/>
        <v>0</v>
      </c>
      <c r="S847" s="307">
        <f t="shared" ca="1" si="398"/>
        <v>2.9792999999999985</v>
      </c>
      <c r="T847" s="304">
        <f t="shared" ca="1" si="378"/>
        <v>29.226932999999988</v>
      </c>
      <c r="U847" s="311">
        <f t="shared" ca="1" si="379"/>
        <v>0</v>
      </c>
      <c r="V847" s="306">
        <f t="shared" ca="1" si="380"/>
        <v>1.2255042201115753</v>
      </c>
      <c r="W847" s="304">
        <f t="shared" ca="1" si="381"/>
        <v>27.460846812417518</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0.56826883949848828</v>
      </c>
      <c r="AH847" s="304">
        <f t="shared" ca="1" si="405"/>
        <v>-9.2171947513168906</v>
      </c>
    </row>
    <row r="848" spans="1:34" x14ac:dyDescent="0.2">
      <c r="A848" s="347">
        <f t="shared" ca="1" si="383"/>
        <v>1E-4</v>
      </c>
      <c r="B848" s="304">
        <f t="shared" ca="1" si="384"/>
        <v>37.034000000001349</v>
      </c>
      <c r="D848" s="306">
        <f t="shared" ca="1" si="385"/>
        <v>-0.6514932087655374</v>
      </c>
      <c r="E848" s="307">
        <f t="shared" ca="1" si="386"/>
        <v>-0.61583894049037902</v>
      </c>
      <c r="F848" s="304">
        <f t="shared" ca="1" si="387"/>
        <v>0.89649372652123371</v>
      </c>
      <c r="G848" s="306">
        <f t="shared" ca="1" si="388"/>
        <v>7.3938306616519878</v>
      </c>
      <c r="H848" s="307">
        <f t="shared" ca="1" si="389"/>
        <v>-104.34599800912416</v>
      </c>
      <c r="I848" s="304">
        <f t="shared" ca="1" si="390"/>
        <v>104.60762893963962</v>
      </c>
      <c r="J848" s="306">
        <f t="shared" ca="1" si="391"/>
        <v>839.7136314269211</v>
      </c>
      <c r="K848" s="307">
        <f t="shared" ca="1" si="392"/>
        <v>-4.125670207722238</v>
      </c>
      <c r="L848" s="304">
        <f t="shared" ca="1" si="377"/>
        <v>839.7237664606439</v>
      </c>
      <c r="M848" s="306">
        <f t="shared" ca="1" si="393"/>
        <v>-1.5000557787960029</v>
      </c>
      <c r="N848" s="304">
        <f t="shared" ca="1" si="394"/>
        <v>-85.946865159220778</v>
      </c>
      <c r="P848" s="310">
        <f t="shared" ca="1" si="395"/>
        <v>23</v>
      </c>
      <c r="Q848" s="304">
        <f t="shared" ca="1" si="396"/>
        <v>0</v>
      </c>
      <c r="R848" s="306">
        <f t="shared" ca="1" si="397"/>
        <v>0</v>
      </c>
      <c r="S848" s="307">
        <f t="shared" ca="1" si="398"/>
        <v>2.9792999999999985</v>
      </c>
      <c r="T848" s="304">
        <f t="shared" ca="1" si="378"/>
        <v>29.226932999999988</v>
      </c>
      <c r="U848" s="311">
        <f t="shared" ca="1" si="379"/>
        <v>0</v>
      </c>
      <c r="V848" s="306">
        <f t="shared" ca="1" si="380"/>
        <v>1.2255054988765288</v>
      </c>
      <c r="W848" s="304">
        <f t="shared" ca="1" si="381"/>
        <v>27.46090530135535</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0.56824966705346824</v>
      </c>
      <c r="AH848" s="304">
        <f t="shared" ca="1" si="405"/>
        <v>-9.2172143833845315</v>
      </c>
    </row>
    <row r="849" spans="1:34" x14ac:dyDescent="0.2">
      <c r="A849" s="347">
        <f t="shared" ca="1" si="383"/>
        <v>1E-4</v>
      </c>
      <c r="B849" s="304">
        <f t="shared" ca="1" si="384"/>
        <v>37.034100000001352</v>
      </c>
      <c r="D849" s="306">
        <f t="shared" ca="1" si="385"/>
        <v>-0.65148850201173059</v>
      </c>
      <c r="E849" s="307">
        <f t="shared" ca="1" si="386"/>
        <v>-0.61581892597812349</v>
      </c>
      <c r="F849" s="304">
        <f t="shared" ca="1" si="387"/>
        <v>0.89647655733228082</v>
      </c>
      <c r="G849" s="306">
        <f t="shared" ca="1" si="388"/>
        <v>7.393765512801787</v>
      </c>
      <c r="H849" s="307">
        <f t="shared" ca="1" si="389"/>
        <v>-104.34605959101675</v>
      </c>
      <c r="I849" s="304">
        <f t="shared" ca="1" si="390"/>
        <v>104.60768576271208</v>
      </c>
      <c r="J849" s="306">
        <f t="shared" ca="1" si="391"/>
        <v>839.7136314269211</v>
      </c>
      <c r="K849" s="307">
        <f t="shared" ca="1" si="392"/>
        <v>-4.1361048106022453</v>
      </c>
      <c r="L849" s="304">
        <f t="shared" ca="1" si="377"/>
        <v>839.72381779201146</v>
      </c>
      <c r="M849" s="306">
        <f t="shared" ca="1" si="393"/>
        <v>-1.5000564416403463</v>
      </c>
      <c r="N849" s="304">
        <f t="shared" ca="1" si="394"/>
        <v>-85.946903137404121</v>
      </c>
      <c r="P849" s="310">
        <f t="shared" ca="1" si="395"/>
        <v>23</v>
      </c>
      <c r="Q849" s="304">
        <f t="shared" ca="1" si="396"/>
        <v>0</v>
      </c>
      <c r="R849" s="306">
        <f t="shared" ca="1" si="397"/>
        <v>0</v>
      </c>
      <c r="S849" s="307">
        <f t="shared" ca="1" si="398"/>
        <v>2.9792999999999985</v>
      </c>
      <c r="T849" s="304">
        <f t="shared" ca="1" si="378"/>
        <v>29.226932999999988</v>
      </c>
      <c r="U849" s="311">
        <f t="shared" ca="1" si="379"/>
        <v>0</v>
      </c>
      <c r="V849" s="306">
        <f t="shared" ca="1" si="380"/>
        <v>1.2255067776435711</v>
      </c>
      <c r="W849" s="304">
        <f t="shared" ca="1" si="381"/>
        <v>27.460963789411849</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0.56823049489540445</v>
      </c>
      <c r="AH849" s="304">
        <f t="shared" ca="1" si="405"/>
        <v>-9.2172340151563663</v>
      </c>
    </row>
    <row r="850" spans="1:34" x14ac:dyDescent="0.2">
      <c r="A850" s="347">
        <f t="shared" ca="1" si="383"/>
        <v>1E-4</v>
      </c>
      <c r="B850" s="304">
        <f t="shared" ca="1" si="384"/>
        <v>37.034200000001356</v>
      </c>
      <c r="D850" s="306">
        <f t="shared" ca="1" si="385"/>
        <v>-0.65148379527108902</v>
      </c>
      <c r="E850" s="307">
        <f t="shared" ca="1" si="386"/>
        <v>-0.61579891176742052</v>
      </c>
      <c r="F850" s="304">
        <f t="shared" ca="1" si="387"/>
        <v>0.89645938850277074</v>
      </c>
      <c r="G850" s="306">
        <f t="shared" ca="1" si="388"/>
        <v>7.3937003644222594</v>
      </c>
      <c r="H850" s="307">
        <f t="shared" ca="1" si="389"/>
        <v>-104.34612117090794</v>
      </c>
      <c r="I850" s="304">
        <f t="shared" ca="1" si="390"/>
        <v>104.60774258386736</v>
      </c>
      <c r="J850" s="306">
        <f t="shared" ca="1" si="391"/>
        <v>839.7136314269211</v>
      </c>
      <c r="K850" s="307">
        <f t="shared" ca="1" si="392"/>
        <v>-4.1465394196403418</v>
      </c>
      <c r="L850" s="304">
        <f t="shared" ca="1" si="377"/>
        <v>839.72386925306921</v>
      </c>
      <c r="M850" s="306">
        <f t="shared" ca="1" si="393"/>
        <v>-1.5000571044781295</v>
      </c>
      <c r="N850" s="304">
        <f t="shared" ca="1" si="394"/>
        <v>-85.946941115211601</v>
      </c>
      <c r="P850" s="310">
        <f t="shared" ca="1" si="395"/>
        <v>23</v>
      </c>
      <c r="Q850" s="304">
        <f t="shared" ca="1" si="396"/>
        <v>0</v>
      </c>
      <c r="R850" s="306">
        <f t="shared" ca="1" si="397"/>
        <v>0</v>
      </c>
      <c r="S850" s="307">
        <f t="shared" ca="1" si="398"/>
        <v>2.9792999999999985</v>
      </c>
      <c r="T850" s="304">
        <f t="shared" ca="1" si="378"/>
        <v>29.226932999999988</v>
      </c>
      <c r="U850" s="311">
        <f t="shared" ca="1" si="379"/>
        <v>0</v>
      </c>
      <c r="V850" s="306">
        <f t="shared" ca="1" si="380"/>
        <v>1.2255080564127034</v>
      </c>
      <c r="W850" s="304">
        <f t="shared" ca="1" si="381"/>
        <v>27.461022276587077</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0.56821132302430932</v>
      </c>
      <c r="AH850" s="304">
        <f t="shared" ca="1" si="405"/>
        <v>-9.2172536466323844</v>
      </c>
    </row>
    <row r="851" spans="1:34" x14ac:dyDescent="0.2">
      <c r="A851" s="347">
        <f t="shared" ca="1" si="383"/>
        <v>1E-4</v>
      </c>
      <c r="B851" s="304">
        <f t="shared" ca="1" si="384"/>
        <v>37.034300000001359</v>
      </c>
      <c r="D851" s="306">
        <f t="shared" ca="1" si="385"/>
        <v>-0.65147908854361092</v>
      </c>
      <c r="E851" s="307">
        <f t="shared" ca="1" si="386"/>
        <v>-0.6157788978582488</v>
      </c>
      <c r="F851" s="304">
        <f t="shared" ca="1" si="387"/>
        <v>0.8964422200326877</v>
      </c>
      <c r="G851" s="306">
        <f t="shared" ca="1" si="388"/>
        <v>7.3936352165134052</v>
      </c>
      <c r="H851" s="307">
        <f t="shared" ca="1" si="389"/>
        <v>-104.34618274879772</v>
      </c>
      <c r="I851" s="304">
        <f t="shared" ca="1" si="390"/>
        <v>104.60779940310549</v>
      </c>
      <c r="J851" s="306">
        <f t="shared" ca="1" si="391"/>
        <v>839.7136314269211</v>
      </c>
      <c r="K851" s="307">
        <f t="shared" ca="1" si="392"/>
        <v>-4.1569740348363267</v>
      </c>
      <c r="L851" s="304">
        <f t="shared" ca="1" si="377"/>
        <v>839.72392084381715</v>
      </c>
      <c r="M851" s="306">
        <f t="shared" ca="1" si="393"/>
        <v>-1.500057767309352</v>
      </c>
      <c r="N851" s="304">
        <f t="shared" ca="1" si="394"/>
        <v>-85.946979092643176</v>
      </c>
      <c r="P851" s="310">
        <f t="shared" ca="1" si="395"/>
        <v>23</v>
      </c>
      <c r="Q851" s="304">
        <f t="shared" ca="1" si="396"/>
        <v>0</v>
      </c>
      <c r="R851" s="306">
        <f t="shared" ca="1" si="397"/>
        <v>0</v>
      </c>
      <c r="S851" s="307">
        <f t="shared" ca="1" si="398"/>
        <v>2.9792999999999985</v>
      </c>
      <c r="T851" s="304">
        <f t="shared" ca="1" si="378"/>
        <v>29.226932999999988</v>
      </c>
      <c r="U851" s="311">
        <f t="shared" ca="1" si="379"/>
        <v>0</v>
      </c>
      <c r="V851" s="306">
        <f t="shared" ca="1" si="380"/>
        <v>1.2255093351839241</v>
      </c>
      <c r="W851" s="304">
        <f t="shared" ca="1" si="381"/>
        <v>27.461080762881</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0.56819215144016688</v>
      </c>
      <c r="AH851" s="304">
        <f t="shared" ca="1" si="405"/>
        <v>-9.2172732778126036</v>
      </c>
    </row>
    <row r="852" spans="1:34" x14ac:dyDescent="0.2">
      <c r="A852" s="347">
        <f t="shared" ca="1" si="383"/>
        <v>1E-4</v>
      </c>
      <c r="B852" s="304">
        <f t="shared" ca="1" si="384"/>
        <v>37.034400000001362</v>
      </c>
      <c r="D852" s="306">
        <f t="shared" ca="1" si="385"/>
        <v>-0.65147438182929862</v>
      </c>
      <c r="E852" s="307">
        <f t="shared" ca="1" si="386"/>
        <v>-0.61575888425062253</v>
      </c>
      <c r="F852" s="304">
        <f t="shared" ca="1" si="387"/>
        <v>0.89642505192204347</v>
      </c>
      <c r="G852" s="306">
        <f t="shared" ca="1" si="388"/>
        <v>7.3935700690752224</v>
      </c>
      <c r="H852" s="307">
        <f t="shared" ca="1" si="389"/>
        <v>-104.34624432468614</v>
      </c>
      <c r="I852" s="304">
        <f t="shared" ca="1" si="390"/>
        <v>104.60785622042648</v>
      </c>
      <c r="J852" s="306">
        <f t="shared" ca="1" si="391"/>
        <v>839.7136314269211</v>
      </c>
      <c r="K852" s="307">
        <f t="shared" ca="1" si="392"/>
        <v>-4.167408656190001</v>
      </c>
      <c r="L852" s="304">
        <f t="shared" ca="1" si="377"/>
        <v>839.72397256425563</v>
      </c>
      <c r="M852" s="306">
        <f t="shared" ca="1" si="393"/>
        <v>-1.5000584301340141</v>
      </c>
      <c r="N852" s="304">
        <f t="shared" ca="1" si="394"/>
        <v>-85.947017069698873</v>
      </c>
      <c r="P852" s="310">
        <f t="shared" ca="1" si="395"/>
        <v>23</v>
      </c>
      <c r="Q852" s="304">
        <f t="shared" ca="1" si="396"/>
        <v>0</v>
      </c>
      <c r="R852" s="306">
        <f t="shared" ca="1" si="397"/>
        <v>0</v>
      </c>
      <c r="S852" s="307">
        <f t="shared" ca="1" si="398"/>
        <v>2.9792999999999985</v>
      </c>
      <c r="T852" s="304">
        <f t="shared" ca="1" si="378"/>
        <v>29.226932999999988</v>
      </c>
      <c r="U852" s="311">
        <f t="shared" ca="1" si="379"/>
        <v>0</v>
      </c>
      <c r="V852" s="306">
        <f t="shared" ca="1" si="380"/>
        <v>1.2255106139572347</v>
      </c>
      <c r="W852" s="304">
        <f t="shared" ca="1" si="381"/>
        <v>27.461139248293655</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0.56817298014298245</v>
      </c>
      <c r="AH852" s="304">
        <f t="shared" ca="1" si="405"/>
        <v>-9.2172929086970132</v>
      </c>
    </row>
    <row r="853" spans="1:34" x14ac:dyDescent="0.2">
      <c r="A853" s="347">
        <f t="shared" ca="1" si="383"/>
        <v>1E-4</v>
      </c>
      <c r="B853" s="304">
        <f t="shared" ca="1" si="384"/>
        <v>37.034500000001366</v>
      </c>
      <c r="D853" s="306">
        <f t="shared" ca="1" si="385"/>
        <v>-0.65146967512815379</v>
      </c>
      <c r="E853" s="307">
        <f t="shared" ca="1" si="386"/>
        <v>-0.61573887094452395</v>
      </c>
      <c r="F853" s="304">
        <f t="shared" ca="1" si="387"/>
        <v>0.8964078841708274</v>
      </c>
      <c r="G853" s="306">
        <f t="shared" ca="1" si="388"/>
        <v>7.3935049221077094</v>
      </c>
      <c r="H853" s="307">
        <f t="shared" ca="1" si="389"/>
        <v>-104.34630589857323</v>
      </c>
      <c r="I853" s="304">
        <f t="shared" ca="1" si="390"/>
        <v>104.60791303583038</v>
      </c>
      <c r="J853" s="306">
        <f t="shared" ca="1" si="391"/>
        <v>839.7136314269211</v>
      </c>
      <c r="K853" s="307">
        <f t="shared" ca="1" si="392"/>
        <v>-4.1778432837011641</v>
      </c>
      <c r="L853" s="304">
        <f t="shared" ca="1" si="377"/>
        <v>839.72402441438476</v>
      </c>
      <c r="M853" s="306">
        <f t="shared" ca="1" si="393"/>
        <v>-1.5000590929521158</v>
      </c>
      <c r="N853" s="304">
        <f t="shared" ca="1" si="394"/>
        <v>-85.947055046378694</v>
      </c>
      <c r="P853" s="310">
        <f t="shared" ca="1" si="395"/>
        <v>23</v>
      </c>
      <c r="Q853" s="304">
        <f t="shared" ca="1" si="396"/>
        <v>0</v>
      </c>
      <c r="R853" s="306">
        <f t="shared" ca="1" si="397"/>
        <v>0</v>
      </c>
      <c r="S853" s="307">
        <f t="shared" ca="1" si="398"/>
        <v>2.9792999999999985</v>
      </c>
      <c r="T853" s="304">
        <f t="shared" ca="1" si="378"/>
        <v>29.226932999999988</v>
      </c>
      <c r="U853" s="311">
        <f t="shared" ca="1" si="379"/>
        <v>0</v>
      </c>
      <c r="V853" s="306">
        <f t="shared" ca="1" si="380"/>
        <v>1.2255118927326343</v>
      </c>
      <c r="W853" s="304">
        <f t="shared" ca="1" si="381"/>
        <v>27.461197732825049</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0.56815380913274716</v>
      </c>
      <c r="AH853" s="304">
        <f t="shared" ca="1" si="405"/>
        <v>-9.2173125392856274</v>
      </c>
    </row>
    <row r="854" spans="1:34" x14ac:dyDescent="0.2">
      <c r="A854" s="347">
        <f t="shared" ca="1" si="383"/>
        <v>1E-4</v>
      </c>
      <c r="B854" s="304">
        <f t="shared" ca="1" si="384"/>
        <v>37.034600000001369</v>
      </c>
      <c r="D854" s="306">
        <f t="shared" ca="1" si="385"/>
        <v>-0.65146496844017565</v>
      </c>
      <c r="E854" s="307">
        <f t="shared" ca="1" si="386"/>
        <v>-0.61571885793995662</v>
      </c>
      <c r="F854" s="304">
        <f t="shared" ca="1" si="387"/>
        <v>0.89639071677904136</v>
      </c>
      <c r="G854" s="306">
        <f t="shared" ca="1" si="388"/>
        <v>7.3934397756108652</v>
      </c>
      <c r="H854" s="307">
        <f t="shared" ca="1" si="389"/>
        <v>-104.34636747045903</v>
      </c>
      <c r="I854" s="304">
        <f t="shared" ca="1" si="390"/>
        <v>104.6079698493172</v>
      </c>
      <c r="J854" s="306">
        <f t="shared" ca="1" si="391"/>
        <v>839.7136314269211</v>
      </c>
      <c r="K854" s="307">
        <f t="shared" ca="1" si="392"/>
        <v>-4.1882779173696161</v>
      </c>
      <c r="L854" s="304">
        <f t="shared" ca="1" si="377"/>
        <v>839.72407639420476</v>
      </c>
      <c r="M854" s="306">
        <f t="shared" ca="1" si="393"/>
        <v>-1.5000597557636572</v>
      </c>
      <c r="N854" s="304">
        <f t="shared" ca="1" si="394"/>
        <v>-85.947093022682623</v>
      </c>
      <c r="P854" s="310">
        <f t="shared" ca="1" si="395"/>
        <v>23</v>
      </c>
      <c r="Q854" s="304">
        <f t="shared" ca="1" si="396"/>
        <v>0</v>
      </c>
      <c r="R854" s="306">
        <f t="shared" ca="1" si="397"/>
        <v>0</v>
      </c>
      <c r="S854" s="307">
        <f t="shared" ca="1" si="398"/>
        <v>2.9792999999999985</v>
      </c>
      <c r="T854" s="304">
        <f t="shared" ca="1" si="378"/>
        <v>29.226932999999988</v>
      </c>
      <c r="U854" s="311">
        <f t="shared" ca="1" si="379"/>
        <v>0</v>
      </c>
      <c r="V854" s="306">
        <f t="shared" ca="1" si="380"/>
        <v>1.2255131715101228</v>
      </c>
      <c r="W854" s="304">
        <f t="shared" ca="1" si="381"/>
        <v>27.461256216475181</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0.56813463840946099</v>
      </c>
      <c r="AH854" s="304">
        <f t="shared" ca="1" si="405"/>
        <v>-9.2173321695784463</v>
      </c>
    </row>
    <row r="855" spans="1:34" x14ac:dyDescent="0.2">
      <c r="A855" s="347">
        <f t="shared" ca="1" si="383"/>
        <v>1E-4</v>
      </c>
      <c r="B855" s="304">
        <f t="shared" ca="1" si="384"/>
        <v>37.034700000001372</v>
      </c>
      <c r="D855" s="306">
        <f t="shared" ca="1" si="385"/>
        <v>-0.65146026176536509</v>
      </c>
      <c r="E855" s="307">
        <f t="shared" ca="1" si="386"/>
        <v>-0.61569884523691876</v>
      </c>
      <c r="F855" s="304">
        <f t="shared" ca="1" si="387"/>
        <v>0.89637354974668526</v>
      </c>
      <c r="G855" s="306">
        <f t="shared" ca="1" si="388"/>
        <v>7.3933746295846889</v>
      </c>
      <c r="H855" s="307">
        <f t="shared" ca="1" si="389"/>
        <v>-104.34642904034355</v>
      </c>
      <c r="I855" s="304">
        <f t="shared" ca="1" si="390"/>
        <v>104.60802666088698</v>
      </c>
      <c r="J855" s="306">
        <f t="shared" ca="1" si="391"/>
        <v>839.7136314269211</v>
      </c>
      <c r="K855" s="307">
        <f t="shared" ca="1" si="392"/>
        <v>-4.1987125571951562</v>
      </c>
      <c r="L855" s="304">
        <f t="shared" ca="1" si="377"/>
        <v>839.72412850371586</v>
      </c>
      <c r="M855" s="306">
        <f t="shared" ca="1" si="393"/>
        <v>-1.5000604185686384</v>
      </c>
      <c r="N855" s="304">
        <f t="shared" ca="1" si="394"/>
        <v>-85.947130998610689</v>
      </c>
      <c r="P855" s="310">
        <f t="shared" ca="1" si="395"/>
        <v>23</v>
      </c>
      <c r="Q855" s="304">
        <f t="shared" ca="1" si="396"/>
        <v>0</v>
      </c>
      <c r="R855" s="306">
        <f t="shared" ca="1" si="397"/>
        <v>0</v>
      </c>
      <c r="S855" s="307">
        <f t="shared" ca="1" si="398"/>
        <v>2.9792999999999985</v>
      </c>
      <c r="T855" s="304">
        <f t="shared" ca="1" si="378"/>
        <v>29.226932999999988</v>
      </c>
      <c r="U855" s="311">
        <f t="shared" ca="1" si="379"/>
        <v>0</v>
      </c>
      <c r="V855" s="306">
        <f t="shared" ca="1" si="380"/>
        <v>1.2255144502897009</v>
      </c>
      <c r="W855" s="304">
        <f t="shared" ca="1" si="381"/>
        <v>27.461314699244074</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0.5681154679731204</v>
      </c>
      <c r="AH855" s="304">
        <f t="shared" ca="1" si="405"/>
        <v>-9.2173517995754697</v>
      </c>
    </row>
    <row r="856" spans="1:34" x14ac:dyDescent="0.2">
      <c r="A856" s="347">
        <f t="shared" ca="1" si="383"/>
        <v>1E-4</v>
      </c>
      <c r="B856" s="304">
        <f t="shared" ca="1" si="384"/>
        <v>37.034800000001376</v>
      </c>
      <c r="D856" s="306">
        <f t="shared" ca="1" si="385"/>
        <v>-0.65145555510372355</v>
      </c>
      <c r="E856" s="307">
        <f t="shared" ca="1" si="386"/>
        <v>-0.61567883283540148</v>
      </c>
      <c r="F856" s="304">
        <f t="shared" ca="1" si="387"/>
        <v>0.8963563830737542</v>
      </c>
      <c r="G856" s="306">
        <f t="shared" ca="1" si="388"/>
        <v>7.3933094840291789</v>
      </c>
      <c r="H856" s="307">
        <f t="shared" ca="1" si="389"/>
        <v>-104.34649060822683</v>
      </c>
      <c r="I856" s="304">
        <f t="shared" ca="1" si="390"/>
        <v>104.60808347053973</v>
      </c>
      <c r="J856" s="306">
        <f t="shared" ca="1" si="391"/>
        <v>839.7136314269211</v>
      </c>
      <c r="K856" s="307">
        <f t="shared" ca="1" si="392"/>
        <v>-4.2091472031775847</v>
      </c>
      <c r="L856" s="304">
        <f t="shared" ca="1" si="377"/>
        <v>839.72418074291818</v>
      </c>
      <c r="M856" s="306">
        <f t="shared" ca="1" si="393"/>
        <v>-1.5000610813670596</v>
      </c>
      <c r="N856" s="304">
        <f t="shared" ca="1" si="394"/>
        <v>-85.947168974162892</v>
      </c>
      <c r="P856" s="310">
        <f t="shared" ca="1" si="395"/>
        <v>23</v>
      </c>
      <c r="Q856" s="304">
        <f t="shared" ca="1" si="396"/>
        <v>0</v>
      </c>
      <c r="R856" s="306">
        <f t="shared" ca="1" si="397"/>
        <v>0</v>
      </c>
      <c r="S856" s="307">
        <f t="shared" ca="1" si="398"/>
        <v>2.9792999999999985</v>
      </c>
      <c r="T856" s="304">
        <f t="shared" ca="1" si="378"/>
        <v>29.226932999999988</v>
      </c>
      <c r="U856" s="311">
        <f t="shared" ca="1" si="379"/>
        <v>0</v>
      </c>
      <c r="V856" s="306">
        <f t="shared" ca="1" si="380"/>
        <v>1.2255157290713685</v>
      </c>
      <c r="W856" s="304">
        <f t="shared" ca="1" si="381"/>
        <v>27.46137318113173</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0.56809629782372184</v>
      </c>
      <c r="AH856" s="304">
        <f t="shared" ca="1" si="405"/>
        <v>-9.2173714292767048</v>
      </c>
    </row>
    <row r="857" spans="1:34" x14ac:dyDescent="0.2">
      <c r="A857" s="347">
        <f t="shared" ca="1" si="383"/>
        <v>1E-4</v>
      </c>
      <c r="B857" s="304">
        <f t="shared" ca="1" si="384"/>
        <v>37.034900000001379</v>
      </c>
      <c r="D857" s="306">
        <f t="shared" ca="1" si="385"/>
        <v>-0.65145084845524825</v>
      </c>
      <c r="E857" s="307">
        <f t="shared" ca="1" si="386"/>
        <v>-0.61565882073540479</v>
      </c>
      <c r="F857" s="304">
        <f t="shared" ca="1" si="387"/>
        <v>0.89633921676024642</v>
      </c>
      <c r="G857" s="306">
        <f t="shared" ca="1" si="388"/>
        <v>7.3932443389443332</v>
      </c>
      <c r="H857" s="307">
        <f t="shared" ca="1" si="389"/>
        <v>-104.34655217410891</v>
      </c>
      <c r="I857" s="304">
        <f t="shared" ca="1" si="390"/>
        <v>104.6081402782755</v>
      </c>
      <c r="J857" s="306">
        <f t="shared" ca="1" si="391"/>
        <v>839.7136314269211</v>
      </c>
      <c r="K857" s="307">
        <f t="shared" ca="1" si="392"/>
        <v>-4.2195818553167017</v>
      </c>
      <c r="L857" s="304">
        <f t="shared" ca="1" si="377"/>
        <v>839.72423311181205</v>
      </c>
      <c r="M857" s="306">
        <f t="shared" ca="1" si="393"/>
        <v>-1.5000617441589208</v>
      </c>
      <c r="N857" s="304">
        <f t="shared" ca="1" si="394"/>
        <v>-85.947206949339233</v>
      </c>
      <c r="P857" s="310">
        <f t="shared" ca="1" si="395"/>
        <v>23</v>
      </c>
      <c r="Q857" s="304">
        <f t="shared" ca="1" si="396"/>
        <v>0</v>
      </c>
      <c r="R857" s="306">
        <f t="shared" ca="1" si="397"/>
        <v>0</v>
      </c>
      <c r="S857" s="307">
        <f t="shared" ca="1" si="398"/>
        <v>2.9792999999999985</v>
      </c>
      <c r="T857" s="304">
        <f t="shared" ca="1" si="378"/>
        <v>29.226932999999988</v>
      </c>
      <c r="U857" s="311">
        <f t="shared" ca="1" si="379"/>
        <v>0</v>
      </c>
      <c r="V857" s="306">
        <f t="shared" ca="1" si="380"/>
        <v>1.2255170078551245</v>
      </c>
      <c r="W857" s="304">
        <f t="shared" ca="1" si="381"/>
        <v>27.46143166213815</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0.56807712796125998</v>
      </c>
      <c r="AH857" s="304">
        <f t="shared" ca="1" si="405"/>
        <v>-9.2173910586821552</v>
      </c>
    </row>
    <row r="858" spans="1:34" x14ac:dyDescent="0.2">
      <c r="A858" s="347">
        <f t="shared" ca="1" si="383"/>
        <v>1E-4</v>
      </c>
      <c r="B858" s="304">
        <f t="shared" ca="1" si="384"/>
        <v>37.035000000001382</v>
      </c>
      <c r="D858" s="306">
        <f t="shared" ca="1" si="385"/>
        <v>-0.65144614181994187</v>
      </c>
      <c r="E858" s="307">
        <f t="shared" ca="1" si="386"/>
        <v>-0.61563880893693046</v>
      </c>
      <c r="F858" s="304">
        <f t="shared" ca="1" si="387"/>
        <v>0.89632205080616545</v>
      </c>
      <c r="G858" s="306">
        <f t="shared" ca="1" si="388"/>
        <v>7.393179194330151</v>
      </c>
      <c r="H858" s="307">
        <f t="shared" ca="1" si="389"/>
        <v>-104.3466137379898</v>
      </c>
      <c r="I858" s="304">
        <f t="shared" ca="1" si="390"/>
        <v>104.6081970840943</v>
      </c>
      <c r="J858" s="306">
        <f t="shared" ca="1" si="391"/>
        <v>839.7136314269211</v>
      </c>
      <c r="K858" s="307">
        <f t="shared" ca="1" si="392"/>
        <v>-4.2300165136123065</v>
      </c>
      <c r="L858" s="304">
        <f t="shared" ca="1" si="377"/>
        <v>839.7242856103976</v>
      </c>
      <c r="M858" s="306">
        <f t="shared" ca="1" si="393"/>
        <v>-1.5000624069442221</v>
      </c>
      <c r="N858" s="304">
        <f t="shared" ca="1" si="394"/>
        <v>-85.947244924139724</v>
      </c>
      <c r="P858" s="310">
        <f t="shared" ca="1" si="395"/>
        <v>23</v>
      </c>
      <c r="Q858" s="304">
        <f t="shared" ca="1" si="396"/>
        <v>0</v>
      </c>
      <c r="R858" s="306">
        <f t="shared" ca="1" si="397"/>
        <v>0</v>
      </c>
      <c r="S858" s="307">
        <f t="shared" ca="1" si="398"/>
        <v>2.9792999999999985</v>
      </c>
      <c r="T858" s="304">
        <f t="shared" ca="1" si="378"/>
        <v>29.226932999999988</v>
      </c>
      <c r="U858" s="311">
        <f t="shared" ca="1" si="379"/>
        <v>0</v>
      </c>
      <c r="V858" s="306">
        <f t="shared" ca="1" si="380"/>
        <v>1.22551828664097</v>
      </c>
      <c r="W858" s="304">
        <f t="shared" ca="1" si="381"/>
        <v>27.461490142263358</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0.56805795838573836</v>
      </c>
      <c r="AH858" s="304">
        <f t="shared" ca="1" si="405"/>
        <v>-9.2174106877918174</v>
      </c>
    </row>
    <row r="859" spans="1:34" x14ac:dyDescent="0.2">
      <c r="A859" s="347">
        <f t="shared" ca="1" si="383"/>
        <v>1E-4</v>
      </c>
      <c r="B859" s="304">
        <f t="shared" ca="1" si="384"/>
        <v>37.035100000001385</v>
      </c>
      <c r="D859" s="306">
        <f t="shared" ca="1" si="385"/>
        <v>-0.65144143519780451</v>
      </c>
      <c r="E859" s="307">
        <f t="shared" ca="1" si="386"/>
        <v>-0.61561879743996428</v>
      </c>
      <c r="F859" s="304">
        <f t="shared" ca="1" si="387"/>
        <v>0.89630488521150165</v>
      </c>
      <c r="G859" s="306">
        <f t="shared" ca="1" si="388"/>
        <v>7.3931140501866315</v>
      </c>
      <c r="H859" s="307">
        <f t="shared" ca="1" si="389"/>
        <v>-104.34667529986955</v>
      </c>
      <c r="I859" s="304">
        <f t="shared" ca="1" si="390"/>
        <v>104.6082538879962</v>
      </c>
      <c r="J859" s="306">
        <f t="shared" ca="1" si="391"/>
        <v>839.7136314269211</v>
      </c>
      <c r="K859" s="307">
        <f t="shared" ca="1" si="392"/>
        <v>-4.2404511780641991</v>
      </c>
      <c r="L859" s="304">
        <f t="shared" ca="1" si="377"/>
        <v>839.72433823867493</v>
      </c>
      <c r="M859" s="306">
        <f t="shared" ca="1" si="393"/>
        <v>-1.5000630697229633</v>
      </c>
      <c r="N859" s="304">
        <f t="shared" ca="1" si="394"/>
        <v>-85.947282898564339</v>
      </c>
      <c r="P859" s="310">
        <f t="shared" ca="1" si="395"/>
        <v>23</v>
      </c>
      <c r="Q859" s="304">
        <f t="shared" ca="1" si="396"/>
        <v>0</v>
      </c>
      <c r="R859" s="306">
        <f t="shared" ca="1" si="397"/>
        <v>0</v>
      </c>
      <c r="S859" s="307">
        <f t="shared" ca="1" si="398"/>
        <v>2.9792999999999985</v>
      </c>
      <c r="T859" s="304">
        <f t="shared" ca="1" si="378"/>
        <v>29.226932999999988</v>
      </c>
      <c r="U859" s="311">
        <f t="shared" ca="1" si="379"/>
        <v>0</v>
      </c>
      <c r="V859" s="306">
        <f t="shared" ca="1" si="380"/>
        <v>1.2255195654289051</v>
      </c>
      <c r="W859" s="304">
        <f t="shared" ca="1" si="381"/>
        <v>27.461548621507387</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0.56803878909714811</v>
      </c>
      <c r="AH859" s="304">
        <f t="shared" ca="1" si="405"/>
        <v>-9.2174303166057037</v>
      </c>
    </row>
    <row r="860" spans="1:34" x14ac:dyDescent="0.2">
      <c r="A860" s="347">
        <f t="shared" ca="1" si="383"/>
        <v>1E-4</v>
      </c>
      <c r="B860" s="304">
        <f t="shared" ca="1" si="384"/>
        <v>37.035200000001389</v>
      </c>
      <c r="D860" s="306">
        <f t="shared" ca="1" si="385"/>
        <v>-0.65143672858883928</v>
      </c>
      <c r="E860" s="307">
        <f t="shared" ca="1" si="386"/>
        <v>-0.61559878624450093</v>
      </c>
      <c r="F860" s="304">
        <f t="shared" ca="1" si="387"/>
        <v>0.89628771997625389</v>
      </c>
      <c r="G860" s="306">
        <f t="shared" ca="1" si="388"/>
        <v>7.3930489065137728</v>
      </c>
      <c r="H860" s="307">
        <f t="shared" ca="1" si="389"/>
        <v>-104.34673685974818</v>
      </c>
      <c r="I860" s="304">
        <f t="shared" ca="1" si="390"/>
        <v>104.60831068998118</v>
      </c>
      <c r="J860" s="306">
        <f t="shared" ca="1" si="391"/>
        <v>839.7136314269211</v>
      </c>
      <c r="K860" s="307">
        <f t="shared" ca="1" si="392"/>
        <v>-4.2508858486721799</v>
      </c>
      <c r="L860" s="304">
        <f t="shared" ca="1" si="377"/>
        <v>839.7243909966445</v>
      </c>
      <c r="M860" s="306">
        <f t="shared" ca="1" si="393"/>
        <v>-1.5000637324951449</v>
      </c>
      <c r="N860" s="304">
        <f t="shared" ca="1" si="394"/>
        <v>-85.947320872613119</v>
      </c>
      <c r="P860" s="310">
        <f t="shared" ca="1" si="395"/>
        <v>23</v>
      </c>
      <c r="Q860" s="304">
        <f t="shared" ca="1" si="396"/>
        <v>0</v>
      </c>
      <c r="R860" s="306">
        <f t="shared" ca="1" si="397"/>
        <v>0</v>
      </c>
      <c r="S860" s="307">
        <f t="shared" ca="1" si="398"/>
        <v>2.9792999999999985</v>
      </c>
      <c r="T860" s="304">
        <f t="shared" ca="1" si="378"/>
        <v>29.226932999999988</v>
      </c>
      <c r="U860" s="311">
        <f t="shared" ca="1" si="379"/>
        <v>0</v>
      </c>
      <c r="V860" s="306">
        <f t="shared" ca="1" si="380"/>
        <v>1.2255208442189285</v>
      </c>
      <c r="W860" s="304">
        <f t="shared" ca="1" si="381"/>
        <v>27.461607099870196</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0.56801962009547857</v>
      </c>
      <c r="AH860" s="304">
        <f t="shared" ca="1" si="405"/>
        <v>-9.2174499451238212</v>
      </c>
    </row>
    <row r="861" spans="1:34" x14ac:dyDescent="0.2">
      <c r="A861" s="347">
        <f t="shared" ca="1" si="383"/>
        <v>1E-4</v>
      </c>
      <c r="B861" s="304">
        <f t="shared" ca="1" si="384"/>
        <v>37.035300000001392</v>
      </c>
      <c r="D861" s="306">
        <f t="shared" ca="1" si="385"/>
        <v>-0.65143202199304262</v>
      </c>
      <c r="E861" s="307">
        <f t="shared" ca="1" si="386"/>
        <v>-0.61557877535055106</v>
      </c>
      <c r="F861" s="304">
        <f t="shared" ca="1" si="387"/>
        <v>0.8962705551004273</v>
      </c>
      <c r="G861" s="306">
        <f t="shared" ca="1" si="388"/>
        <v>7.3929837633115731</v>
      </c>
      <c r="H861" s="307">
        <f t="shared" ca="1" si="389"/>
        <v>-104.34679841762571</v>
      </c>
      <c r="I861" s="304">
        <f t="shared" ca="1" si="390"/>
        <v>104.6083674900493</v>
      </c>
      <c r="J861" s="306">
        <f t="shared" ca="1" si="391"/>
        <v>839.7136314269211</v>
      </c>
      <c r="K861" s="307">
        <f t="shared" ca="1" si="392"/>
        <v>-4.2613205254360489</v>
      </c>
      <c r="L861" s="304">
        <f t="shared" ca="1" si="377"/>
        <v>839.72444388430642</v>
      </c>
      <c r="M861" s="306">
        <f t="shared" ca="1" si="393"/>
        <v>-1.5000643952607668</v>
      </c>
      <c r="N861" s="304">
        <f t="shared" ca="1" si="394"/>
        <v>-85.947358846286065</v>
      </c>
      <c r="P861" s="310">
        <f t="shared" ca="1" si="395"/>
        <v>23</v>
      </c>
      <c r="Q861" s="304">
        <f t="shared" ca="1" si="396"/>
        <v>0</v>
      </c>
      <c r="R861" s="306">
        <f t="shared" ca="1" si="397"/>
        <v>0</v>
      </c>
      <c r="S861" s="307">
        <f t="shared" ca="1" si="398"/>
        <v>2.9792999999999985</v>
      </c>
      <c r="T861" s="304">
        <f t="shared" ca="1" si="378"/>
        <v>29.226932999999988</v>
      </c>
      <c r="U861" s="311">
        <f t="shared" ca="1" si="379"/>
        <v>0</v>
      </c>
      <c r="V861" s="306">
        <f t="shared" ca="1" si="380"/>
        <v>1.2255221230110411</v>
      </c>
      <c r="W861" s="304">
        <f t="shared" ca="1" si="381"/>
        <v>27.461665577351827</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0.56800045138074218</v>
      </c>
      <c r="AH861" s="304">
        <f t="shared" ca="1" si="405"/>
        <v>-9.2174695733461594</v>
      </c>
    </row>
    <row r="862" spans="1:34" x14ac:dyDescent="0.2">
      <c r="A862" s="347">
        <f t="shared" ca="1" si="383"/>
        <v>1E-4</v>
      </c>
      <c r="B862" s="304">
        <f t="shared" ca="1" si="384"/>
        <v>37.035400000001395</v>
      </c>
      <c r="D862" s="306">
        <f t="shared" ca="1" si="385"/>
        <v>-0.6514273154104161</v>
      </c>
      <c r="E862" s="307">
        <f t="shared" ca="1" si="386"/>
        <v>-0.615558764758104</v>
      </c>
      <c r="F862" s="304">
        <f t="shared" ca="1" si="387"/>
        <v>0.89625339058401587</v>
      </c>
      <c r="G862" s="306">
        <f t="shared" ca="1" si="388"/>
        <v>7.3929186205800317</v>
      </c>
      <c r="H862" s="307">
        <f t="shared" ca="1" si="389"/>
        <v>-104.34685997350218</v>
      </c>
      <c r="I862" s="304">
        <f t="shared" ca="1" si="390"/>
        <v>104.60842428820057</v>
      </c>
      <c r="J862" s="306">
        <f t="shared" ca="1" si="391"/>
        <v>839.7136314269211</v>
      </c>
      <c r="K862" s="307">
        <f t="shared" ca="1" si="392"/>
        <v>-4.2717552083556054</v>
      </c>
      <c r="L862" s="304">
        <f t="shared" ca="1" si="377"/>
        <v>839.7244969016607</v>
      </c>
      <c r="M862" s="306">
        <f t="shared" ca="1" si="393"/>
        <v>-1.5000650580198291</v>
      </c>
      <c r="N862" s="304">
        <f t="shared" ca="1" si="394"/>
        <v>-85.947396819583176</v>
      </c>
      <c r="P862" s="310">
        <f t="shared" ca="1" si="395"/>
        <v>23</v>
      </c>
      <c r="Q862" s="304">
        <f t="shared" ca="1" si="396"/>
        <v>0</v>
      </c>
      <c r="R862" s="306">
        <f t="shared" ca="1" si="397"/>
        <v>0</v>
      </c>
      <c r="S862" s="307">
        <f t="shared" ca="1" si="398"/>
        <v>2.9792999999999985</v>
      </c>
      <c r="T862" s="304">
        <f t="shared" ca="1" si="378"/>
        <v>29.226932999999988</v>
      </c>
      <c r="U862" s="311">
        <f t="shared" ca="1" si="379"/>
        <v>0</v>
      </c>
      <c r="V862" s="306">
        <f t="shared" ca="1" si="380"/>
        <v>1.2255234018052432</v>
      </c>
      <c r="W862" s="304">
        <f t="shared" ca="1" si="381"/>
        <v>27.461724053952285</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0.56798128295292827</v>
      </c>
      <c r="AH862" s="304">
        <f t="shared" ca="1" si="405"/>
        <v>-9.2174892012727287</v>
      </c>
    </row>
    <row r="863" spans="1:34" x14ac:dyDescent="0.2">
      <c r="A863" s="347">
        <f t="shared" ca="1" si="383"/>
        <v>1E-4</v>
      </c>
      <c r="B863" s="304">
        <f t="shared" ca="1" si="384"/>
        <v>37.035500000001399</v>
      </c>
      <c r="D863" s="306">
        <f t="shared" ca="1" si="385"/>
        <v>-0.65142260884096126</v>
      </c>
      <c r="E863" s="307">
        <f t="shared" ca="1" si="386"/>
        <v>-0.61553875446715267</v>
      </c>
      <c r="F863" s="304">
        <f t="shared" ca="1" si="387"/>
        <v>0.89623622642701617</v>
      </c>
      <c r="G863" s="306">
        <f t="shared" ca="1" si="388"/>
        <v>7.3928534783191475</v>
      </c>
      <c r="H863" s="307">
        <f t="shared" ca="1" si="389"/>
        <v>-104.34692152737762</v>
      </c>
      <c r="I863" s="304">
        <f t="shared" ca="1" si="390"/>
        <v>104.60848108443501</v>
      </c>
      <c r="J863" s="306">
        <f t="shared" ca="1" si="391"/>
        <v>839.7136314269211</v>
      </c>
      <c r="K863" s="307">
        <f t="shared" ca="1" si="392"/>
        <v>-4.2821898974306496</v>
      </c>
      <c r="L863" s="304">
        <f t="shared" ca="1" si="377"/>
        <v>839.72455004870778</v>
      </c>
      <c r="M863" s="306">
        <f t="shared" ca="1" si="393"/>
        <v>-1.5000657207723318</v>
      </c>
      <c r="N863" s="304">
        <f t="shared" ca="1" si="394"/>
        <v>-85.947434792504438</v>
      </c>
      <c r="P863" s="310">
        <f t="shared" ca="1" si="395"/>
        <v>23</v>
      </c>
      <c r="Q863" s="304">
        <f t="shared" ca="1" si="396"/>
        <v>0</v>
      </c>
      <c r="R863" s="306">
        <f t="shared" ca="1" si="397"/>
        <v>0</v>
      </c>
      <c r="S863" s="307">
        <f t="shared" ca="1" si="398"/>
        <v>2.9792999999999985</v>
      </c>
      <c r="T863" s="304">
        <f t="shared" ca="1" si="378"/>
        <v>29.226932999999988</v>
      </c>
      <c r="U863" s="311">
        <f t="shared" ca="1" si="379"/>
        <v>0</v>
      </c>
      <c r="V863" s="306">
        <f t="shared" ca="1" si="380"/>
        <v>1.2255246806015336</v>
      </c>
      <c r="W863" s="304">
        <f t="shared" ca="1" si="381"/>
        <v>27.461782529671563</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0.56796211481203329</v>
      </c>
      <c r="AH863" s="304">
        <f t="shared" ca="1" si="405"/>
        <v>-9.2175088289035347</v>
      </c>
    </row>
    <row r="864" spans="1:34" x14ac:dyDescent="0.2">
      <c r="A864" s="347">
        <f t="shared" ca="1" si="383"/>
        <v>1E-4</v>
      </c>
      <c r="B864" s="304">
        <f t="shared" ca="1" si="384"/>
        <v>37.035600000001402</v>
      </c>
      <c r="D864" s="306">
        <f t="shared" ca="1" si="385"/>
        <v>-0.65141790228467844</v>
      </c>
      <c r="E864" s="307">
        <f t="shared" ca="1" si="386"/>
        <v>-0.61551874447770416</v>
      </c>
      <c r="F864" s="304">
        <f t="shared" ca="1" si="387"/>
        <v>0.89621906262943341</v>
      </c>
      <c r="G864" s="306">
        <f t="shared" ca="1" si="388"/>
        <v>7.3927883365289189</v>
      </c>
      <c r="H864" s="307">
        <f t="shared" ca="1" si="389"/>
        <v>-104.34698307925207</v>
      </c>
      <c r="I864" s="304">
        <f t="shared" ca="1" si="390"/>
        <v>104.60853787875268</v>
      </c>
      <c r="J864" s="306">
        <f t="shared" ca="1" si="391"/>
        <v>839.7136314269211</v>
      </c>
      <c r="K864" s="307">
        <f t="shared" ca="1" si="392"/>
        <v>-4.2926245926609807</v>
      </c>
      <c r="L864" s="304">
        <f t="shared" ca="1" si="377"/>
        <v>839.72460332544779</v>
      </c>
      <c r="M864" s="306">
        <f t="shared" ca="1" si="393"/>
        <v>-1.5000663835182753</v>
      </c>
      <c r="N864" s="304">
        <f t="shared" ca="1" si="394"/>
        <v>-85.947472765049881</v>
      </c>
      <c r="P864" s="310">
        <f t="shared" ca="1" si="395"/>
        <v>23</v>
      </c>
      <c r="Q864" s="304">
        <f t="shared" ca="1" si="396"/>
        <v>0</v>
      </c>
      <c r="R864" s="306">
        <f t="shared" ca="1" si="397"/>
        <v>0</v>
      </c>
      <c r="S864" s="307">
        <f t="shared" ca="1" si="398"/>
        <v>2.9792999999999985</v>
      </c>
      <c r="T864" s="304">
        <f t="shared" ca="1" si="378"/>
        <v>29.226932999999988</v>
      </c>
      <c r="U864" s="311">
        <f t="shared" ca="1" si="379"/>
        <v>0</v>
      </c>
      <c r="V864" s="306">
        <f t="shared" ca="1" si="380"/>
        <v>1.2255259593999137</v>
      </c>
      <c r="W864" s="304">
        <f t="shared" ca="1" si="381"/>
        <v>27.461841004509704</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0.56794294695805903</v>
      </c>
      <c r="AH864" s="304">
        <f t="shared" ca="1" si="405"/>
        <v>-9.217528456238572</v>
      </c>
    </row>
    <row r="865" spans="1:34" x14ac:dyDescent="0.2">
      <c r="A865" s="347">
        <f t="shared" ca="1" si="383"/>
        <v>1E-4</v>
      </c>
      <c r="B865" s="304">
        <f t="shared" ca="1" si="384"/>
        <v>37.035700000001405</v>
      </c>
      <c r="D865" s="306">
        <f t="shared" ca="1" si="385"/>
        <v>-0.65141319574156609</v>
      </c>
      <c r="E865" s="307">
        <f t="shared" ca="1" si="386"/>
        <v>-0.61549873478974249</v>
      </c>
      <c r="F865" s="304">
        <f t="shared" ca="1" si="387"/>
        <v>0.8962018991912557</v>
      </c>
      <c r="G865" s="306">
        <f t="shared" ca="1" si="388"/>
        <v>7.3927231952093448</v>
      </c>
      <c r="H865" s="307">
        <f t="shared" ca="1" si="389"/>
        <v>-104.34704462912555</v>
      </c>
      <c r="I865" s="304">
        <f t="shared" ca="1" si="390"/>
        <v>104.6085946711536</v>
      </c>
      <c r="J865" s="306">
        <f t="shared" ca="1" si="391"/>
        <v>839.7136314269211</v>
      </c>
      <c r="K865" s="307">
        <f t="shared" ca="1" si="392"/>
        <v>-4.3030592940463999</v>
      </c>
      <c r="L865" s="304">
        <f t="shared" ca="1" si="377"/>
        <v>839.72465673188083</v>
      </c>
      <c r="M865" s="306">
        <f t="shared" ca="1" si="393"/>
        <v>-1.5000670462576591</v>
      </c>
      <c r="N865" s="304">
        <f t="shared" ca="1" si="394"/>
        <v>-85.947510737219503</v>
      </c>
      <c r="P865" s="310">
        <f t="shared" ca="1" si="395"/>
        <v>23</v>
      </c>
      <c r="Q865" s="304">
        <f t="shared" ca="1" si="396"/>
        <v>0</v>
      </c>
      <c r="R865" s="306">
        <f t="shared" ca="1" si="397"/>
        <v>0</v>
      </c>
      <c r="S865" s="307">
        <f t="shared" ca="1" si="398"/>
        <v>2.9792999999999985</v>
      </c>
      <c r="T865" s="304">
        <f t="shared" ca="1" si="378"/>
        <v>29.226932999999988</v>
      </c>
      <c r="U865" s="311">
        <f t="shared" ca="1" si="379"/>
        <v>0</v>
      </c>
      <c r="V865" s="306">
        <f t="shared" ca="1" si="380"/>
        <v>1.2255272382003826</v>
      </c>
      <c r="W865" s="304">
        <f t="shared" ca="1" si="381"/>
        <v>27.461899478466691</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0.56792377939099126</v>
      </c>
      <c r="AH865" s="304">
        <f t="shared" ca="1" si="405"/>
        <v>-9.2175480832778565</v>
      </c>
    </row>
    <row r="866" spans="1:34" x14ac:dyDescent="0.2">
      <c r="A866" s="347">
        <f t="shared" ca="1" si="383"/>
        <v>1E-4</v>
      </c>
      <c r="B866" s="304">
        <f t="shared" ca="1" si="384"/>
        <v>37.035800000001409</v>
      </c>
      <c r="D866" s="306">
        <f t="shared" ca="1" si="385"/>
        <v>-0.65140848921162842</v>
      </c>
      <c r="E866" s="307">
        <f t="shared" ca="1" si="386"/>
        <v>-0.6154787254032712</v>
      </c>
      <c r="F866" s="304">
        <f t="shared" ca="1" si="387"/>
        <v>0.89618473611248894</v>
      </c>
      <c r="G866" s="306">
        <f t="shared" ca="1" si="388"/>
        <v>7.3926580543604237</v>
      </c>
      <c r="H866" s="307">
        <f t="shared" ca="1" si="389"/>
        <v>-104.34710617699808</v>
      </c>
      <c r="I866" s="304">
        <f t="shared" ca="1" si="390"/>
        <v>104.60865146163778</v>
      </c>
      <c r="J866" s="306">
        <f t="shared" ca="1" si="391"/>
        <v>839.7136314269211</v>
      </c>
      <c r="K866" s="307">
        <f t="shared" ca="1" si="392"/>
        <v>-4.3134940015867063</v>
      </c>
      <c r="L866" s="304">
        <f t="shared" ca="1" si="377"/>
        <v>839.72471026800724</v>
      </c>
      <c r="M866" s="306">
        <f t="shared" ca="1" si="393"/>
        <v>-1.5000677089904837</v>
      </c>
      <c r="N866" s="304">
        <f t="shared" ca="1" si="394"/>
        <v>-85.94754870901329</v>
      </c>
      <c r="P866" s="310">
        <f t="shared" ca="1" si="395"/>
        <v>23</v>
      </c>
      <c r="Q866" s="304">
        <f t="shared" ca="1" si="396"/>
        <v>0</v>
      </c>
      <c r="R866" s="306">
        <f t="shared" ca="1" si="397"/>
        <v>0</v>
      </c>
      <c r="S866" s="307">
        <f t="shared" ca="1" si="398"/>
        <v>2.9792999999999985</v>
      </c>
      <c r="T866" s="304">
        <f t="shared" ca="1" si="378"/>
        <v>29.226932999999988</v>
      </c>
      <c r="U866" s="311">
        <f t="shared" ca="1" si="379"/>
        <v>0</v>
      </c>
      <c r="V866" s="306">
        <f t="shared" ca="1" si="380"/>
        <v>1.2255285170029406</v>
      </c>
      <c r="W866" s="304">
        <f t="shared" ca="1" si="381"/>
        <v>27.461957951542551</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0.56790461211083887</v>
      </c>
      <c r="AH866" s="304">
        <f t="shared" ca="1" si="405"/>
        <v>-9.2175677100213829</v>
      </c>
    </row>
    <row r="867" spans="1:34" x14ac:dyDescent="0.2">
      <c r="A867" s="347">
        <f t="shared" ca="1" si="383"/>
        <v>1E-4</v>
      </c>
      <c r="B867" s="304">
        <f t="shared" ca="1" si="384"/>
        <v>37.035900000001412</v>
      </c>
      <c r="D867" s="306">
        <f t="shared" ca="1" si="385"/>
        <v>-0.65140378269486299</v>
      </c>
      <c r="E867" s="307">
        <f t="shared" ca="1" si="386"/>
        <v>-0.61545871631828497</v>
      </c>
      <c r="F867" s="304">
        <f t="shared" ca="1" si="387"/>
        <v>0.89616757339312803</v>
      </c>
      <c r="G867" s="306">
        <f t="shared" ca="1" si="388"/>
        <v>7.3925929139821545</v>
      </c>
      <c r="H867" s="307">
        <f t="shared" ca="1" si="389"/>
        <v>-104.34716772286971</v>
      </c>
      <c r="I867" s="304">
        <f t="shared" ca="1" si="390"/>
        <v>104.60870825020525</v>
      </c>
      <c r="J867" s="306">
        <f t="shared" ca="1" si="391"/>
        <v>839.7136314269211</v>
      </c>
      <c r="K867" s="307">
        <f t="shared" ca="1" si="392"/>
        <v>-4.3239287152817001</v>
      </c>
      <c r="L867" s="304">
        <f t="shared" ca="1" si="377"/>
        <v>839.72476393382726</v>
      </c>
      <c r="M867" s="306">
        <f t="shared" ca="1" si="393"/>
        <v>-1.5000683717167491</v>
      </c>
      <c r="N867" s="304">
        <f t="shared" ca="1" si="394"/>
        <v>-85.947586680431272</v>
      </c>
      <c r="P867" s="310">
        <f t="shared" ca="1" si="395"/>
        <v>23</v>
      </c>
      <c r="Q867" s="304">
        <f t="shared" ca="1" si="396"/>
        <v>0</v>
      </c>
      <c r="R867" s="306">
        <f t="shared" ca="1" si="397"/>
        <v>0</v>
      </c>
      <c r="S867" s="307">
        <f t="shared" ca="1" si="398"/>
        <v>2.9792999999999985</v>
      </c>
      <c r="T867" s="304">
        <f t="shared" ca="1" si="378"/>
        <v>29.226932999999988</v>
      </c>
      <c r="U867" s="311">
        <f t="shared" ca="1" si="379"/>
        <v>0</v>
      </c>
      <c r="V867" s="306">
        <f t="shared" ca="1" si="380"/>
        <v>1.2255297958075875</v>
      </c>
      <c r="W867" s="304">
        <f t="shared" ca="1" si="381"/>
        <v>27.462016423737282</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0.5678854451175912</v>
      </c>
      <c r="AH867" s="304">
        <f t="shared" ca="1" si="405"/>
        <v>-9.2175873364691583</v>
      </c>
    </row>
    <row r="868" spans="1:34" x14ac:dyDescent="0.2">
      <c r="A868" s="347">
        <f t="shared" ca="1" si="383"/>
        <v>1E-4</v>
      </c>
      <c r="B868" s="304">
        <f t="shared" ca="1" si="384"/>
        <v>37.036000000001415</v>
      </c>
      <c r="D868" s="306">
        <f t="shared" ca="1" si="385"/>
        <v>-0.65139907619127113</v>
      </c>
      <c r="E868" s="307">
        <f t="shared" ca="1" si="386"/>
        <v>-0.61543870753478025</v>
      </c>
      <c r="F868" s="304">
        <f t="shared" ca="1" si="387"/>
        <v>0.8961504110331715</v>
      </c>
      <c r="G868" s="306">
        <f t="shared" ca="1" si="388"/>
        <v>7.3925277740745354</v>
      </c>
      <c r="H868" s="307">
        <f t="shared" ca="1" si="389"/>
        <v>-104.34722926674047</v>
      </c>
      <c r="I868" s="304">
        <f t="shared" ca="1" si="390"/>
        <v>104.60876503685608</v>
      </c>
      <c r="J868" s="306">
        <f t="shared" ca="1" si="391"/>
        <v>839.7136314269211</v>
      </c>
      <c r="K868" s="307">
        <f t="shared" ca="1" si="392"/>
        <v>-4.3343634351311806</v>
      </c>
      <c r="L868" s="304">
        <f t="shared" ca="1" si="377"/>
        <v>839.724817729341</v>
      </c>
      <c r="M868" s="306">
        <f t="shared" ca="1" si="393"/>
        <v>-1.5000690344364553</v>
      </c>
      <c r="N868" s="304">
        <f t="shared" ca="1" si="394"/>
        <v>-85.947624651473433</v>
      </c>
      <c r="P868" s="310">
        <f t="shared" ca="1" si="395"/>
        <v>23</v>
      </c>
      <c r="Q868" s="304">
        <f t="shared" ca="1" si="396"/>
        <v>0</v>
      </c>
      <c r="R868" s="306">
        <f t="shared" ca="1" si="397"/>
        <v>0</v>
      </c>
      <c r="S868" s="307">
        <f t="shared" ca="1" si="398"/>
        <v>2.9792999999999985</v>
      </c>
      <c r="T868" s="304">
        <f t="shared" ca="1" si="378"/>
        <v>29.226932999999988</v>
      </c>
      <c r="U868" s="311">
        <f t="shared" ca="1" si="379"/>
        <v>0</v>
      </c>
      <c r="V868" s="306">
        <f t="shared" ca="1" si="380"/>
        <v>1.2255310746143231</v>
      </c>
      <c r="W868" s="304">
        <f t="shared" ca="1" si="381"/>
        <v>27.462074895050907</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0.56786627841124648</v>
      </c>
      <c r="AH868" s="304">
        <f t="shared" ca="1" si="405"/>
        <v>-9.2176069626211845</v>
      </c>
    </row>
    <row r="869" spans="1:34" x14ac:dyDescent="0.2">
      <c r="A869" s="347">
        <f t="shared" ca="1" si="383"/>
        <v>1E-4</v>
      </c>
      <c r="B869" s="304">
        <f t="shared" ca="1" si="384"/>
        <v>37.036100000001419</v>
      </c>
      <c r="D869" s="306">
        <f t="shared" ca="1" si="385"/>
        <v>-0.65139436970085407</v>
      </c>
      <c r="E869" s="307">
        <f t="shared" ca="1" si="386"/>
        <v>-0.61541869905275171</v>
      </c>
      <c r="F869" s="304">
        <f t="shared" ca="1" si="387"/>
        <v>0.89613324903261704</v>
      </c>
      <c r="G869" s="306">
        <f t="shared" ca="1" si="388"/>
        <v>7.3924626346375657</v>
      </c>
      <c r="H869" s="307">
        <f t="shared" ca="1" si="389"/>
        <v>-104.34729080861038</v>
      </c>
      <c r="I869" s="304">
        <f t="shared" ca="1" si="390"/>
        <v>104.60882182159025</v>
      </c>
      <c r="J869" s="306">
        <f t="shared" ca="1" si="391"/>
        <v>839.7136314269211</v>
      </c>
      <c r="K869" s="307">
        <f t="shared" ca="1" si="392"/>
        <v>-4.344798161134948</v>
      </c>
      <c r="L869" s="304">
        <f t="shared" ca="1" si="377"/>
        <v>839.72487165454856</v>
      </c>
      <c r="M869" s="306">
        <f t="shared" ca="1" si="393"/>
        <v>-1.5000696971496026</v>
      </c>
      <c r="N869" s="304">
        <f t="shared" ca="1" si="394"/>
        <v>-85.947662622139802</v>
      </c>
      <c r="P869" s="310">
        <f t="shared" ca="1" si="395"/>
        <v>23</v>
      </c>
      <c r="Q869" s="304">
        <f t="shared" ca="1" si="396"/>
        <v>0</v>
      </c>
      <c r="R869" s="306">
        <f t="shared" ca="1" si="397"/>
        <v>0</v>
      </c>
      <c r="S869" s="307">
        <f t="shared" ca="1" si="398"/>
        <v>2.9792999999999985</v>
      </c>
      <c r="T869" s="304">
        <f t="shared" ca="1" si="378"/>
        <v>29.226932999999988</v>
      </c>
      <c r="U869" s="311">
        <f t="shared" ca="1" si="379"/>
        <v>0</v>
      </c>
      <c r="V869" s="306">
        <f t="shared" ca="1" si="380"/>
        <v>1.2255323534231479</v>
      </c>
      <c r="W869" s="304">
        <f t="shared" ca="1" si="381"/>
        <v>27.462133365483417</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0.5678471119917976</v>
      </c>
      <c r="AH869" s="304">
        <f t="shared" ca="1" si="405"/>
        <v>-9.2176265884774686</v>
      </c>
    </row>
    <row r="870" spans="1:34" x14ac:dyDescent="0.2">
      <c r="A870" s="347">
        <f t="shared" ca="1" si="383"/>
        <v>1E-4</v>
      </c>
      <c r="B870" s="304">
        <f t="shared" ca="1" si="384"/>
        <v>37.036200000001422</v>
      </c>
      <c r="D870" s="306">
        <f t="shared" ca="1" si="385"/>
        <v>-0.65138966322361047</v>
      </c>
      <c r="E870" s="307">
        <f t="shared" ca="1" si="386"/>
        <v>-0.61539869087220289</v>
      </c>
      <c r="F870" s="304">
        <f t="shared" ca="1" si="387"/>
        <v>0.8961160873914662</v>
      </c>
      <c r="G870" s="306">
        <f t="shared" ca="1" si="388"/>
        <v>7.3923974956712435</v>
      </c>
      <c r="H870" s="307">
        <f t="shared" ca="1" si="389"/>
        <v>-104.34735234847948</v>
      </c>
      <c r="I870" s="304">
        <f t="shared" ca="1" si="390"/>
        <v>104.60887860440782</v>
      </c>
      <c r="J870" s="306">
        <f t="shared" ca="1" si="391"/>
        <v>839.7136314269211</v>
      </c>
      <c r="K870" s="307">
        <f t="shared" ca="1" si="392"/>
        <v>-4.3552328932928024</v>
      </c>
      <c r="L870" s="304">
        <f t="shared" ca="1" si="377"/>
        <v>839.7249257094503</v>
      </c>
      <c r="M870" s="306">
        <f t="shared" ca="1" si="393"/>
        <v>-1.5000703598561909</v>
      </c>
      <c r="N870" s="304">
        <f t="shared" ca="1" si="394"/>
        <v>-85.947700592430365</v>
      </c>
      <c r="P870" s="310">
        <f t="shared" ca="1" si="395"/>
        <v>23</v>
      </c>
      <c r="Q870" s="304">
        <f t="shared" ca="1" si="396"/>
        <v>0</v>
      </c>
      <c r="R870" s="306">
        <f t="shared" ca="1" si="397"/>
        <v>0</v>
      </c>
      <c r="S870" s="307">
        <f t="shared" ca="1" si="398"/>
        <v>2.9792999999999985</v>
      </c>
      <c r="T870" s="304">
        <f t="shared" ca="1" si="378"/>
        <v>29.226932999999988</v>
      </c>
      <c r="U870" s="311">
        <f t="shared" ca="1" si="379"/>
        <v>0</v>
      </c>
      <c r="V870" s="306">
        <f t="shared" ca="1" si="380"/>
        <v>1.2255336322340613</v>
      </c>
      <c r="W870" s="304">
        <f t="shared" ca="1" si="381"/>
        <v>27.462191835034844</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0.56782794585925345</v>
      </c>
      <c r="AH870" s="304">
        <f t="shared" ca="1" si="405"/>
        <v>-9.2176462140380053</v>
      </c>
    </row>
    <row r="871" spans="1:34" x14ac:dyDescent="0.2">
      <c r="A871" s="347">
        <f t="shared" ca="1" si="383"/>
        <v>1E-4</v>
      </c>
      <c r="B871" s="304">
        <f t="shared" ca="1" si="384"/>
        <v>37.036300000001425</v>
      </c>
      <c r="D871" s="306">
        <f t="shared" ca="1" si="385"/>
        <v>-0.65138495675954222</v>
      </c>
      <c r="E871" s="307">
        <f t="shared" ca="1" si="386"/>
        <v>-0.61537868299312137</v>
      </c>
      <c r="F871" s="304">
        <f t="shared" ca="1" si="387"/>
        <v>0.89609892610971209</v>
      </c>
      <c r="G871" s="306">
        <f t="shared" ca="1" si="388"/>
        <v>7.3923323571755679</v>
      </c>
      <c r="H871" s="307">
        <f t="shared" ca="1" si="389"/>
        <v>-104.34741388634778</v>
      </c>
      <c r="I871" s="304">
        <f t="shared" ca="1" si="390"/>
        <v>104.6089353853088</v>
      </c>
      <c r="J871" s="306">
        <f t="shared" ca="1" si="391"/>
        <v>839.7136314269211</v>
      </c>
      <c r="K871" s="307">
        <f t="shared" ca="1" si="392"/>
        <v>-4.365667631604544</v>
      </c>
      <c r="L871" s="304">
        <f t="shared" ca="1" si="377"/>
        <v>839.72497989404644</v>
      </c>
      <c r="M871" s="306">
        <f t="shared" ca="1" si="393"/>
        <v>-1.5000710225562202</v>
      </c>
      <c r="N871" s="304">
        <f t="shared" ca="1" si="394"/>
        <v>-85.947738562345137</v>
      </c>
      <c r="P871" s="310">
        <f t="shared" ca="1" si="395"/>
        <v>23</v>
      </c>
      <c r="Q871" s="304">
        <f t="shared" ca="1" si="396"/>
        <v>0</v>
      </c>
      <c r="R871" s="306">
        <f t="shared" ca="1" si="397"/>
        <v>0</v>
      </c>
      <c r="S871" s="307">
        <f t="shared" ca="1" si="398"/>
        <v>2.9792999999999985</v>
      </c>
      <c r="T871" s="304">
        <f t="shared" ca="1" si="378"/>
        <v>29.226932999999988</v>
      </c>
      <c r="U871" s="311">
        <f t="shared" ca="1" si="379"/>
        <v>0</v>
      </c>
      <c r="V871" s="306">
        <f t="shared" ca="1" si="380"/>
        <v>1.2255349110470639</v>
      </c>
      <c r="W871" s="304">
        <f t="shared" ca="1" si="381"/>
        <v>27.462250303705183</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0.56780878001359802</v>
      </c>
      <c r="AH871" s="304">
        <f t="shared" ca="1" si="405"/>
        <v>-9.2176658393028088</v>
      </c>
    </row>
    <row r="872" spans="1:34" x14ac:dyDescent="0.2">
      <c r="A872" s="347">
        <f t="shared" ca="1" si="383"/>
        <v>1E-4</v>
      </c>
      <c r="B872" s="304">
        <f t="shared" ca="1" si="384"/>
        <v>37.036400000001429</v>
      </c>
      <c r="D872" s="306">
        <f t="shared" ca="1" si="385"/>
        <v>-0.65138025030865021</v>
      </c>
      <c r="E872" s="307">
        <f t="shared" ca="1" si="386"/>
        <v>-0.61535867541550893</v>
      </c>
      <c r="F872" s="304">
        <f t="shared" ca="1" si="387"/>
        <v>0.89608176518735694</v>
      </c>
      <c r="G872" s="306">
        <f t="shared" ca="1" si="388"/>
        <v>7.3922672191505372</v>
      </c>
      <c r="H872" s="307">
        <f t="shared" ca="1" si="389"/>
        <v>-104.34747542221533</v>
      </c>
      <c r="I872" s="304">
        <f t="shared" ca="1" si="390"/>
        <v>104.60899216429321</v>
      </c>
      <c r="J872" s="306">
        <f t="shared" ca="1" si="391"/>
        <v>839.7136314269211</v>
      </c>
      <c r="K872" s="307">
        <f t="shared" ca="1" si="392"/>
        <v>-4.376102376069972</v>
      </c>
      <c r="L872" s="304">
        <f t="shared" ca="1" si="377"/>
        <v>839.72503420833709</v>
      </c>
      <c r="M872" s="306">
        <f t="shared" ca="1" si="393"/>
        <v>-1.5000716852496907</v>
      </c>
      <c r="N872" s="304">
        <f t="shared" ca="1" si="394"/>
        <v>-85.947776531884102</v>
      </c>
      <c r="P872" s="310">
        <f t="shared" ca="1" si="395"/>
        <v>23</v>
      </c>
      <c r="Q872" s="304">
        <f t="shared" ca="1" si="396"/>
        <v>0</v>
      </c>
      <c r="R872" s="306">
        <f t="shared" ca="1" si="397"/>
        <v>0</v>
      </c>
      <c r="S872" s="307">
        <f t="shared" ca="1" si="398"/>
        <v>2.9792999999999985</v>
      </c>
      <c r="T872" s="304">
        <f t="shared" ca="1" si="378"/>
        <v>29.226932999999988</v>
      </c>
      <c r="U872" s="311">
        <f t="shared" ca="1" si="379"/>
        <v>0</v>
      </c>
      <c r="V872" s="306">
        <f t="shared" ca="1" si="380"/>
        <v>1.2255361898621553</v>
      </c>
      <c r="W872" s="304">
        <f t="shared" ca="1" si="381"/>
        <v>27.462308771494438</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0.56778961445483489</v>
      </c>
      <c r="AH872" s="304">
        <f t="shared" ca="1" si="405"/>
        <v>-9.2176854642718755</v>
      </c>
    </row>
    <row r="873" spans="1:34" x14ac:dyDescent="0.2">
      <c r="A873" s="347">
        <f t="shared" ca="1" si="383"/>
        <v>1E-4</v>
      </c>
      <c r="B873" s="304">
        <f t="shared" ca="1" si="384"/>
        <v>37.036500000001432</v>
      </c>
      <c r="D873" s="306">
        <f t="shared" ca="1" si="385"/>
        <v>-0.65137554387093322</v>
      </c>
      <c r="E873" s="307">
        <f t="shared" ca="1" si="386"/>
        <v>-0.61533866813936555</v>
      </c>
      <c r="F873" s="304">
        <f t="shared" ca="1" si="387"/>
        <v>0.89606460462439996</v>
      </c>
      <c r="G873" s="306">
        <f t="shared" ca="1" si="388"/>
        <v>7.3922020815961504</v>
      </c>
      <c r="H873" s="307">
        <f t="shared" ca="1" si="389"/>
        <v>-104.34753695608214</v>
      </c>
      <c r="I873" s="304">
        <f t="shared" ca="1" si="390"/>
        <v>104.6090489413611</v>
      </c>
      <c r="J873" s="306">
        <f t="shared" ca="1" si="391"/>
        <v>839.7136314269211</v>
      </c>
      <c r="K873" s="307">
        <f t="shared" ca="1" si="392"/>
        <v>-4.3865371266888866</v>
      </c>
      <c r="L873" s="304">
        <f t="shared" ca="1" si="377"/>
        <v>839.7250886523226</v>
      </c>
      <c r="M873" s="306">
        <f t="shared" ca="1" si="393"/>
        <v>-1.5000723479366025</v>
      </c>
      <c r="N873" s="304">
        <f t="shared" ca="1" si="394"/>
        <v>-85.94781450104729</v>
      </c>
      <c r="P873" s="310">
        <f t="shared" ca="1" si="395"/>
        <v>23</v>
      </c>
      <c r="Q873" s="304">
        <f t="shared" ca="1" si="396"/>
        <v>0</v>
      </c>
      <c r="R873" s="306">
        <f t="shared" ca="1" si="397"/>
        <v>0</v>
      </c>
      <c r="S873" s="307">
        <f t="shared" ca="1" si="398"/>
        <v>2.9792999999999985</v>
      </c>
      <c r="T873" s="304">
        <f t="shared" ca="1" si="378"/>
        <v>29.226932999999988</v>
      </c>
      <c r="U873" s="311">
        <f t="shared" ca="1" si="379"/>
        <v>0</v>
      </c>
      <c r="V873" s="306">
        <f t="shared" ca="1" si="380"/>
        <v>1.2255374686793352</v>
      </c>
      <c r="W873" s="304">
        <f t="shared" ca="1" si="381"/>
        <v>27.462367238402624</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0.56777044918296227</v>
      </c>
      <c r="AH873" s="304">
        <f t="shared" ca="1" si="405"/>
        <v>-9.2177050889452055</v>
      </c>
    </row>
    <row r="874" spans="1:34" x14ac:dyDescent="0.2">
      <c r="A874" s="347">
        <f t="shared" ca="1" si="383"/>
        <v>1E-4</v>
      </c>
      <c r="B874" s="304">
        <f t="shared" ca="1" si="384"/>
        <v>37.036600000001435</v>
      </c>
      <c r="D874" s="306">
        <f t="shared" ca="1" si="385"/>
        <v>-0.65137083744639301</v>
      </c>
      <c r="E874" s="307">
        <f t="shared" ca="1" si="386"/>
        <v>-0.61531866116468414</v>
      </c>
      <c r="F874" s="304">
        <f t="shared" ca="1" si="387"/>
        <v>0.89604744442083795</v>
      </c>
      <c r="G874" s="306">
        <f t="shared" ca="1" si="388"/>
        <v>7.3921369445124059</v>
      </c>
      <c r="H874" s="307">
        <f t="shared" ca="1" si="389"/>
        <v>-104.34759848794826</v>
      </c>
      <c r="I874" s="304">
        <f t="shared" ca="1" si="390"/>
        <v>104.6091057165125</v>
      </c>
      <c r="J874" s="306">
        <f t="shared" ca="1" si="391"/>
        <v>839.7136314269211</v>
      </c>
      <c r="K874" s="307">
        <f t="shared" ca="1" si="392"/>
        <v>-4.396971883461088</v>
      </c>
      <c r="L874" s="304">
        <f t="shared" ca="1" si="377"/>
        <v>839.72514322600284</v>
      </c>
      <c r="M874" s="306">
        <f t="shared" ca="1" si="393"/>
        <v>-1.5000730106169555</v>
      </c>
      <c r="N874" s="304">
        <f t="shared" ca="1" si="394"/>
        <v>-85.947852469834686</v>
      </c>
      <c r="P874" s="310">
        <f t="shared" ca="1" si="395"/>
        <v>23</v>
      </c>
      <c r="Q874" s="304">
        <f t="shared" ca="1" si="396"/>
        <v>0</v>
      </c>
      <c r="R874" s="306">
        <f t="shared" ca="1" si="397"/>
        <v>0</v>
      </c>
      <c r="S874" s="307">
        <f t="shared" ca="1" si="398"/>
        <v>2.9792999999999985</v>
      </c>
      <c r="T874" s="304">
        <f t="shared" ca="1" si="378"/>
        <v>29.226932999999988</v>
      </c>
      <c r="U874" s="311">
        <f t="shared" ca="1" si="379"/>
        <v>0</v>
      </c>
      <c r="V874" s="306">
        <f t="shared" ca="1" si="380"/>
        <v>1.2255387474986039</v>
      </c>
      <c r="W874" s="304">
        <f t="shared" ca="1" si="381"/>
        <v>27.462425704429769</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0.56775128419797483</v>
      </c>
      <c r="AH874" s="304">
        <f t="shared" ca="1" si="405"/>
        <v>-9.2177247133228075</v>
      </c>
    </row>
    <row r="875" spans="1:34" x14ac:dyDescent="0.2">
      <c r="A875" s="347">
        <f t="shared" ca="1" si="383"/>
        <v>1E-4</v>
      </c>
      <c r="B875" s="304">
        <f t="shared" ca="1" si="384"/>
        <v>37.036700000001439</v>
      </c>
      <c r="D875" s="306">
        <f t="shared" ca="1" si="385"/>
        <v>-0.65136613103503083</v>
      </c>
      <c r="E875" s="307">
        <f t="shared" ca="1" si="386"/>
        <v>-0.6152986544914576</v>
      </c>
      <c r="F875" s="304">
        <f t="shared" ca="1" si="387"/>
        <v>0.89603028457666711</v>
      </c>
      <c r="G875" s="306">
        <f t="shared" ca="1" si="388"/>
        <v>7.3920718078993026</v>
      </c>
      <c r="H875" s="307">
        <f t="shared" ca="1" si="389"/>
        <v>-104.34766001781371</v>
      </c>
      <c r="I875" s="304">
        <f t="shared" ca="1" si="390"/>
        <v>104.60916248974742</v>
      </c>
      <c r="J875" s="306">
        <f t="shared" ca="1" si="391"/>
        <v>839.7136314269211</v>
      </c>
      <c r="K875" s="307">
        <f t="shared" ca="1" si="392"/>
        <v>-4.4074066463863764</v>
      </c>
      <c r="L875" s="304">
        <f t="shared" ca="1" si="377"/>
        <v>839.7251979293784</v>
      </c>
      <c r="M875" s="306">
        <f t="shared" ca="1" si="393"/>
        <v>-1.5000736732907503</v>
      </c>
      <c r="N875" s="304">
        <f t="shared" ca="1" si="394"/>
        <v>-85.947890438246318</v>
      </c>
      <c r="P875" s="310">
        <f t="shared" ca="1" si="395"/>
        <v>23</v>
      </c>
      <c r="Q875" s="304">
        <f t="shared" ca="1" si="396"/>
        <v>0</v>
      </c>
      <c r="R875" s="306">
        <f t="shared" ca="1" si="397"/>
        <v>0</v>
      </c>
      <c r="S875" s="307">
        <f t="shared" ca="1" si="398"/>
        <v>2.9792999999999985</v>
      </c>
      <c r="T875" s="304">
        <f t="shared" ca="1" si="378"/>
        <v>29.226932999999988</v>
      </c>
      <c r="U875" s="311">
        <f t="shared" ca="1" si="379"/>
        <v>0</v>
      </c>
      <c r="V875" s="306">
        <f t="shared" ca="1" si="380"/>
        <v>1.2255400263199621</v>
      </c>
      <c r="W875" s="304">
        <f t="shared" ca="1" si="381"/>
        <v>27.462484169575873</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0.56773211949986546</v>
      </c>
      <c r="AH875" s="304">
        <f t="shared" ca="1" si="405"/>
        <v>-9.217744337404687</v>
      </c>
    </row>
    <row r="876" spans="1:34" x14ac:dyDescent="0.2">
      <c r="A876" s="347">
        <f t="shared" ca="1" si="383"/>
        <v>1E-4</v>
      </c>
      <c r="B876" s="304">
        <f t="shared" ca="1" si="384"/>
        <v>37.036800000001442</v>
      </c>
      <c r="D876" s="306">
        <f t="shared" ca="1" si="385"/>
        <v>-0.65136142463684377</v>
      </c>
      <c r="E876" s="307">
        <f t="shared" ca="1" si="386"/>
        <v>-0.61527864811968236</v>
      </c>
      <c r="F876" s="304">
        <f t="shared" ca="1" si="387"/>
        <v>0.89601312509188313</v>
      </c>
      <c r="G876" s="306">
        <f t="shared" ca="1" si="388"/>
        <v>7.3920066717568389</v>
      </c>
      <c r="H876" s="307">
        <f t="shared" ca="1" si="389"/>
        <v>-104.34772154567852</v>
      </c>
      <c r="I876" s="304">
        <f t="shared" ca="1" si="390"/>
        <v>104.6092192610659</v>
      </c>
      <c r="J876" s="306">
        <f t="shared" ca="1" si="391"/>
        <v>839.7136314269211</v>
      </c>
      <c r="K876" s="307">
        <f t="shared" ca="1" si="392"/>
        <v>-4.4178414154645509</v>
      </c>
      <c r="L876" s="304">
        <f t="shared" ca="1" si="377"/>
        <v>839.72525276244926</v>
      </c>
      <c r="M876" s="306">
        <f t="shared" ca="1" si="393"/>
        <v>-1.5000743359579862</v>
      </c>
      <c r="N876" s="304">
        <f t="shared" ca="1" si="394"/>
        <v>-85.947928406282159</v>
      </c>
      <c r="P876" s="310">
        <f t="shared" ca="1" si="395"/>
        <v>23</v>
      </c>
      <c r="Q876" s="304">
        <f t="shared" ca="1" si="396"/>
        <v>0</v>
      </c>
      <c r="R876" s="306">
        <f t="shared" ca="1" si="397"/>
        <v>0</v>
      </c>
      <c r="S876" s="307">
        <f t="shared" ca="1" si="398"/>
        <v>2.9792999999999985</v>
      </c>
      <c r="T876" s="304">
        <f t="shared" ca="1" si="378"/>
        <v>29.226932999999988</v>
      </c>
      <c r="U876" s="311">
        <f t="shared" ca="1" si="379"/>
        <v>0</v>
      </c>
      <c r="V876" s="306">
        <f t="shared" ca="1" si="380"/>
        <v>1.2255413051434083</v>
      </c>
      <c r="W876" s="304">
        <f t="shared" ca="1" si="381"/>
        <v>27.462542633840933</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0.56771295508863595</v>
      </c>
      <c r="AH876" s="304">
        <f t="shared" ca="1" si="405"/>
        <v>-9.2177639611908457</v>
      </c>
    </row>
    <row r="877" spans="1:34" x14ac:dyDescent="0.2">
      <c r="A877" s="347">
        <f t="shared" ca="1" si="383"/>
        <v>1E-4</v>
      </c>
      <c r="B877" s="304">
        <f t="shared" ca="1" si="384"/>
        <v>37.036900000001445</v>
      </c>
      <c r="D877" s="306">
        <f t="shared" ca="1" si="385"/>
        <v>-0.65135671825183683</v>
      </c>
      <c r="E877" s="307">
        <f t="shared" ca="1" si="386"/>
        <v>-0.61525864204936376</v>
      </c>
      <c r="F877" s="304">
        <f t="shared" ca="1" si="387"/>
        <v>0.89599596596649356</v>
      </c>
      <c r="G877" s="306">
        <f t="shared" ca="1" si="388"/>
        <v>7.3919415360850138</v>
      </c>
      <c r="H877" s="307">
        <f t="shared" ca="1" si="389"/>
        <v>-104.34778307154274</v>
      </c>
      <c r="I877" s="304">
        <f t="shared" ca="1" si="390"/>
        <v>104.60927603046797</v>
      </c>
      <c r="J877" s="306">
        <f t="shared" ca="1" si="391"/>
        <v>839.7136314269211</v>
      </c>
      <c r="K877" s="307">
        <f t="shared" ca="1" si="392"/>
        <v>-4.4282761906954118</v>
      </c>
      <c r="L877" s="304">
        <f t="shared" ca="1" si="377"/>
        <v>839.72530772521566</v>
      </c>
      <c r="M877" s="306">
        <f t="shared" ca="1" si="393"/>
        <v>-1.5000749986186639</v>
      </c>
      <c r="N877" s="304">
        <f t="shared" ca="1" si="394"/>
        <v>-85.947966373942236</v>
      </c>
      <c r="P877" s="310">
        <f t="shared" ca="1" si="395"/>
        <v>23</v>
      </c>
      <c r="Q877" s="304">
        <f t="shared" ca="1" si="396"/>
        <v>0</v>
      </c>
      <c r="R877" s="306">
        <f t="shared" ca="1" si="397"/>
        <v>0</v>
      </c>
      <c r="S877" s="307">
        <f t="shared" ca="1" si="398"/>
        <v>2.9792999999999985</v>
      </c>
      <c r="T877" s="304">
        <f t="shared" ca="1" si="378"/>
        <v>29.226932999999988</v>
      </c>
      <c r="U877" s="311">
        <f t="shared" ca="1" si="379"/>
        <v>0</v>
      </c>
      <c r="V877" s="306">
        <f t="shared" ca="1" si="380"/>
        <v>1.2255425839689438</v>
      </c>
      <c r="W877" s="304">
        <f t="shared" ca="1" si="381"/>
        <v>27.462601097224972</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0.56769379096427919</v>
      </c>
      <c r="AH877" s="304">
        <f t="shared" ca="1" si="405"/>
        <v>-9.2177835846812837</v>
      </c>
    </row>
    <row r="878" spans="1:34" x14ac:dyDescent="0.2">
      <c r="A878" s="347">
        <f t="shared" ca="1" si="383"/>
        <v>1E-4</v>
      </c>
      <c r="B878" s="304">
        <f t="shared" ca="1" si="384"/>
        <v>37.037000000001449</v>
      </c>
      <c r="D878" s="306">
        <f t="shared" ca="1" si="385"/>
        <v>-0.65135201188000735</v>
      </c>
      <c r="E878" s="307">
        <f t="shared" ca="1" si="386"/>
        <v>-0.61523863628049114</v>
      </c>
      <c r="F878" s="304">
        <f t="shared" ca="1" si="387"/>
        <v>0.89597880720048939</v>
      </c>
      <c r="G878" s="306">
        <f t="shared" ca="1" si="388"/>
        <v>7.3918764008838256</v>
      </c>
      <c r="H878" s="307">
        <f t="shared" ca="1" si="389"/>
        <v>-104.34784459540636</v>
      </c>
      <c r="I878" s="304">
        <f t="shared" ca="1" si="390"/>
        <v>104.60933279795363</v>
      </c>
      <c r="J878" s="306">
        <f t="shared" ca="1" si="391"/>
        <v>839.7136314269211</v>
      </c>
      <c r="K878" s="307">
        <f t="shared" ca="1" si="392"/>
        <v>-4.4387109720787592</v>
      </c>
      <c r="L878" s="304">
        <f t="shared" ca="1" si="377"/>
        <v>839.72536281767793</v>
      </c>
      <c r="M878" s="306">
        <f t="shared" ca="1" si="393"/>
        <v>-1.5000756612727832</v>
      </c>
      <c r="N878" s="304">
        <f t="shared" ca="1" si="394"/>
        <v>-85.94800434122655</v>
      </c>
      <c r="P878" s="310">
        <f t="shared" ca="1" si="395"/>
        <v>23</v>
      </c>
      <c r="Q878" s="304">
        <f t="shared" ca="1" si="396"/>
        <v>0</v>
      </c>
      <c r="R878" s="306">
        <f t="shared" ca="1" si="397"/>
        <v>0</v>
      </c>
      <c r="S878" s="307">
        <f t="shared" ca="1" si="398"/>
        <v>2.9792999999999985</v>
      </c>
      <c r="T878" s="304">
        <f t="shared" ca="1" si="378"/>
        <v>29.226932999999988</v>
      </c>
      <c r="U878" s="311">
        <f t="shared" ca="1" si="379"/>
        <v>0</v>
      </c>
      <c r="V878" s="306">
        <f t="shared" ca="1" si="380"/>
        <v>1.2255438627965678</v>
      </c>
      <c r="W878" s="304">
        <f t="shared" ca="1" si="381"/>
        <v>27.462659559727985</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0.56767462712679873</v>
      </c>
      <c r="AH878" s="304">
        <f t="shared" ca="1" si="405"/>
        <v>-9.2178032078760062</v>
      </c>
    </row>
    <row r="879" spans="1:34" x14ac:dyDescent="0.2">
      <c r="A879" s="347">
        <f t="shared" ca="1" si="383"/>
        <v>1E-4</v>
      </c>
      <c r="B879" s="304">
        <f t="shared" ca="1" si="384"/>
        <v>37.037100000001452</v>
      </c>
      <c r="D879" s="306">
        <f t="shared" ca="1" si="385"/>
        <v>-0.65134730552135622</v>
      </c>
      <c r="E879" s="307">
        <f t="shared" ca="1" si="386"/>
        <v>-0.61521863081306627</v>
      </c>
      <c r="F879" s="304">
        <f t="shared" ca="1" si="387"/>
        <v>0.89596164879387274</v>
      </c>
      <c r="G879" s="306">
        <f t="shared" ca="1" si="388"/>
        <v>7.3918112661532733</v>
      </c>
      <c r="H879" s="307">
        <f t="shared" ca="1" si="389"/>
        <v>-104.34790611726945</v>
      </c>
      <c r="I879" s="304">
        <f t="shared" ca="1" si="390"/>
        <v>104.60938956352297</v>
      </c>
      <c r="J879" s="306">
        <f t="shared" ca="1" si="391"/>
        <v>839.7136314269211</v>
      </c>
      <c r="K879" s="307">
        <f t="shared" ca="1" si="392"/>
        <v>-4.4491457596143933</v>
      </c>
      <c r="L879" s="304">
        <f t="shared" ca="1" si="377"/>
        <v>839.72541803983609</v>
      </c>
      <c r="M879" s="306">
        <f t="shared" ca="1" si="393"/>
        <v>-1.5000763239203443</v>
      </c>
      <c r="N879" s="304">
        <f t="shared" ca="1" si="394"/>
        <v>-85.948042308135101</v>
      </c>
      <c r="P879" s="310">
        <f t="shared" ca="1" si="395"/>
        <v>23</v>
      </c>
      <c r="Q879" s="304">
        <f t="shared" ca="1" si="396"/>
        <v>0</v>
      </c>
      <c r="R879" s="306">
        <f t="shared" ca="1" si="397"/>
        <v>0</v>
      </c>
      <c r="S879" s="307">
        <f t="shared" ca="1" si="398"/>
        <v>2.9792999999999985</v>
      </c>
      <c r="T879" s="304">
        <f t="shared" ca="1" si="378"/>
        <v>29.226932999999988</v>
      </c>
      <c r="U879" s="311">
        <f t="shared" ca="1" si="379"/>
        <v>0</v>
      </c>
      <c r="V879" s="306">
        <f t="shared" ca="1" si="380"/>
        <v>1.2255451416262808</v>
      </c>
      <c r="W879" s="304">
        <f t="shared" ca="1" si="381"/>
        <v>27.462718021350017</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0.56765546357618746</v>
      </c>
      <c r="AH879" s="304">
        <f t="shared" ca="1" si="405"/>
        <v>-9.2178228307750132</v>
      </c>
    </row>
    <row r="880" spans="1:34" x14ac:dyDescent="0.2">
      <c r="A880" s="347">
        <f t="shared" ca="1" si="383"/>
        <v>1E-4</v>
      </c>
      <c r="B880" s="304">
        <f t="shared" ca="1" si="384"/>
        <v>37.037200000001455</v>
      </c>
      <c r="D880" s="306">
        <f t="shared" ca="1" si="385"/>
        <v>-0.65134259917588555</v>
      </c>
      <c r="E880" s="307">
        <f t="shared" ca="1" si="386"/>
        <v>-0.61519862564707495</v>
      </c>
      <c r="F880" s="304">
        <f t="shared" ca="1" si="387"/>
        <v>0.89594449074663551</v>
      </c>
      <c r="G880" s="306">
        <f t="shared" ca="1" si="388"/>
        <v>7.3917461318933562</v>
      </c>
      <c r="H880" s="307">
        <f t="shared" ca="1" si="389"/>
        <v>-104.34796763713202</v>
      </c>
      <c r="I880" s="304">
        <f t="shared" ca="1" si="390"/>
        <v>104.60944632717597</v>
      </c>
      <c r="J880" s="306">
        <f t="shared" ca="1" si="391"/>
        <v>839.7136314269211</v>
      </c>
      <c r="K880" s="307">
        <f t="shared" ca="1" si="392"/>
        <v>-4.4595805533021133</v>
      </c>
      <c r="L880" s="304">
        <f t="shared" ca="1" si="377"/>
        <v>839.72547339169034</v>
      </c>
      <c r="M880" s="306">
        <f t="shared" ca="1" si="393"/>
        <v>-1.5000769865613472</v>
      </c>
      <c r="N880" s="304">
        <f t="shared" ca="1" si="394"/>
        <v>-85.948080274667902</v>
      </c>
      <c r="P880" s="310">
        <f t="shared" ca="1" si="395"/>
        <v>23</v>
      </c>
      <c r="Q880" s="304">
        <f t="shared" ca="1" si="396"/>
        <v>0</v>
      </c>
      <c r="R880" s="306">
        <f t="shared" ca="1" si="397"/>
        <v>0</v>
      </c>
      <c r="S880" s="307">
        <f t="shared" ca="1" si="398"/>
        <v>2.9792999999999985</v>
      </c>
      <c r="T880" s="304">
        <f t="shared" ca="1" si="378"/>
        <v>29.226932999999988</v>
      </c>
      <c r="U880" s="311">
        <f t="shared" ca="1" si="379"/>
        <v>0</v>
      </c>
      <c r="V880" s="306">
        <f t="shared" ca="1" si="380"/>
        <v>1.2255464204580822</v>
      </c>
      <c r="W880" s="304">
        <f t="shared" ca="1" si="381"/>
        <v>27.462776482091041</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0.56763630031243295</v>
      </c>
      <c r="AH880" s="304">
        <f t="shared" ca="1" si="405"/>
        <v>-9.2178424533783208</v>
      </c>
    </row>
    <row r="881" spans="1:34" x14ac:dyDescent="0.2">
      <c r="A881" s="347">
        <f t="shared" ca="1" si="383"/>
        <v>1E-4</v>
      </c>
      <c r="B881" s="304">
        <f t="shared" ca="1" si="384"/>
        <v>37.037300000001458</v>
      </c>
      <c r="D881" s="306">
        <f t="shared" ca="1" si="385"/>
        <v>-0.65133789284359378</v>
      </c>
      <c r="E881" s="307">
        <f t="shared" ca="1" si="386"/>
        <v>-0.61517862078252428</v>
      </c>
      <c r="F881" s="304">
        <f t="shared" ca="1" si="387"/>
        <v>0.89592733305878203</v>
      </c>
      <c r="G881" s="306">
        <f t="shared" ca="1" si="388"/>
        <v>7.3916809981040714</v>
      </c>
      <c r="H881" s="307">
        <f t="shared" ca="1" si="389"/>
        <v>-104.34802915499409</v>
      </c>
      <c r="I881" s="304">
        <f t="shared" ca="1" si="390"/>
        <v>104.60950308891267</v>
      </c>
      <c r="J881" s="306">
        <f t="shared" ca="1" si="391"/>
        <v>839.7136314269211</v>
      </c>
      <c r="K881" s="307">
        <f t="shared" ca="1" si="392"/>
        <v>-4.4700153531417195</v>
      </c>
      <c r="L881" s="304">
        <f t="shared" ca="1" si="377"/>
        <v>839.72552887324105</v>
      </c>
      <c r="M881" s="306">
        <f t="shared" ca="1" si="393"/>
        <v>-1.5000776491957921</v>
      </c>
      <c r="N881" s="304">
        <f t="shared" ca="1" si="394"/>
        <v>-85.948118240824954</v>
      </c>
      <c r="P881" s="310">
        <f t="shared" ca="1" si="395"/>
        <v>23</v>
      </c>
      <c r="Q881" s="304">
        <f t="shared" ca="1" si="396"/>
        <v>0</v>
      </c>
      <c r="R881" s="306">
        <f t="shared" ca="1" si="397"/>
        <v>0</v>
      </c>
      <c r="S881" s="307">
        <f t="shared" ca="1" si="398"/>
        <v>2.9792999999999985</v>
      </c>
      <c r="T881" s="304">
        <f t="shared" ca="1" si="378"/>
        <v>29.226932999999988</v>
      </c>
      <c r="U881" s="311">
        <f t="shared" ca="1" si="379"/>
        <v>0</v>
      </c>
      <c r="V881" s="306">
        <f t="shared" ca="1" si="380"/>
        <v>1.225547699291972</v>
      </c>
      <c r="W881" s="304">
        <f t="shared" ca="1" si="381"/>
        <v>27.462834941951076</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0.56761713733554764</v>
      </c>
      <c r="AH881" s="304">
        <f t="shared" ca="1" si="405"/>
        <v>-9.2178620756859182</v>
      </c>
    </row>
    <row r="882" spans="1:34" x14ac:dyDescent="0.2">
      <c r="A882" s="347">
        <f t="shared" ca="1" si="383"/>
        <v>1E-4</v>
      </c>
      <c r="B882" s="304">
        <f t="shared" ca="1" si="384"/>
        <v>37.037400000001462</v>
      </c>
      <c r="D882" s="306">
        <f t="shared" ca="1" si="385"/>
        <v>-0.65133318652448191</v>
      </c>
      <c r="E882" s="307">
        <f t="shared" ca="1" si="386"/>
        <v>-0.6151586162194107</v>
      </c>
      <c r="F882" s="304">
        <f t="shared" ca="1" si="387"/>
        <v>0.89591017573031051</v>
      </c>
      <c r="G882" s="306">
        <f t="shared" ca="1" si="388"/>
        <v>7.3916158647854191</v>
      </c>
      <c r="H882" s="307">
        <f t="shared" ca="1" si="389"/>
        <v>-104.34809067085571</v>
      </c>
      <c r="I882" s="304">
        <f t="shared" ca="1" si="390"/>
        <v>104.6095598487331</v>
      </c>
      <c r="J882" s="306">
        <f t="shared" ca="1" si="391"/>
        <v>839.7136314269211</v>
      </c>
      <c r="K882" s="307">
        <f t="shared" ca="1" si="392"/>
        <v>-4.4804501591330119</v>
      </c>
      <c r="L882" s="304">
        <f t="shared" ca="1" si="377"/>
        <v>839.72558448448831</v>
      </c>
      <c r="M882" s="306">
        <f t="shared" ca="1" si="393"/>
        <v>-1.5000783118236789</v>
      </c>
      <c r="N882" s="304">
        <f t="shared" ca="1" si="394"/>
        <v>-85.948156206606257</v>
      </c>
      <c r="P882" s="310">
        <f t="shared" ca="1" si="395"/>
        <v>23</v>
      </c>
      <c r="Q882" s="304">
        <f t="shared" ca="1" si="396"/>
        <v>0</v>
      </c>
      <c r="R882" s="306">
        <f t="shared" ca="1" si="397"/>
        <v>0</v>
      </c>
      <c r="S882" s="307">
        <f t="shared" ca="1" si="398"/>
        <v>2.9792999999999985</v>
      </c>
      <c r="T882" s="304">
        <f t="shared" ca="1" si="378"/>
        <v>29.226932999999988</v>
      </c>
      <c r="U882" s="311">
        <f t="shared" ca="1" si="379"/>
        <v>0</v>
      </c>
      <c r="V882" s="306">
        <f t="shared" ca="1" si="380"/>
        <v>1.2255489781279507</v>
      </c>
      <c r="W882" s="304">
        <f t="shared" ca="1" si="381"/>
        <v>27.462893400930138</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0.56759797464552264</v>
      </c>
      <c r="AH882" s="304">
        <f t="shared" ca="1" si="405"/>
        <v>-9.2178816976978108</v>
      </c>
    </row>
    <row r="883" spans="1:34" x14ac:dyDescent="0.2">
      <c r="A883" s="347">
        <f t="shared" ca="1" si="383"/>
        <v>1E-4</v>
      </c>
      <c r="B883" s="304">
        <f t="shared" ca="1" si="384"/>
        <v>37.037500000001465</v>
      </c>
      <c r="D883" s="306">
        <f t="shared" ca="1" si="385"/>
        <v>-0.65132848021855183</v>
      </c>
      <c r="E883" s="307">
        <f t="shared" ca="1" si="386"/>
        <v>-0.61513861195772535</v>
      </c>
      <c r="F883" s="304">
        <f t="shared" ca="1" si="387"/>
        <v>0.89589301876121652</v>
      </c>
      <c r="G883" s="306">
        <f t="shared" ca="1" si="388"/>
        <v>7.3915507319373974</v>
      </c>
      <c r="H883" s="307">
        <f t="shared" ca="1" si="389"/>
        <v>-104.34815218471691</v>
      </c>
      <c r="I883" s="304">
        <f t="shared" ca="1" si="390"/>
        <v>104.60961660663729</v>
      </c>
      <c r="J883" s="306">
        <f t="shared" ca="1" si="391"/>
        <v>839.7136314269211</v>
      </c>
      <c r="K883" s="307">
        <f t="shared" ca="1" si="392"/>
        <v>-4.4908849712757908</v>
      </c>
      <c r="L883" s="304">
        <f t="shared" ca="1" si="377"/>
        <v>839.72564022543236</v>
      </c>
      <c r="M883" s="306">
        <f t="shared" ca="1" si="393"/>
        <v>-1.5000789744450078</v>
      </c>
      <c r="N883" s="304">
        <f t="shared" ca="1" si="394"/>
        <v>-85.948194172011824</v>
      </c>
      <c r="P883" s="310">
        <f t="shared" ca="1" si="395"/>
        <v>23</v>
      </c>
      <c r="Q883" s="304">
        <f t="shared" ca="1" si="396"/>
        <v>0</v>
      </c>
      <c r="R883" s="306">
        <f t="shared" ca="1" si="397"/>
        <v>0</v>
      </c>
      <c r="S883" s="307">
        <f t="shared" ca="1" si="398"/>
        <v>2.9792999999999985</v>
      </c>
      <c r="T883" s="304">
        <f t="shared" ca="1" si="378"/>
        <v>29.226932999999988</v>
      </c>
      <c r="U883" s="311">
        <f t="shared" ca="1" si="379"/>
        <v>0</v>
      </c>
      <c r="V883" s="306">
        <f t="shared" ca="1" si="380"/>
        <v>1.2255502569660184</v>
      </c>
      <c r="W883" s="304">
        <f t="shared" ca="1" si="381"/>
        <v>27.462951859028248</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0.56757881224235263</v>
      </c>
      <c r="AH883" s="304">
        <f t="shared" ca="1" si="405"/>
        <v>-9.2179013194140076</v>
      </c>
    </row>
    <row r="884" spans="1:34" x14ac:dyDescent="0.2">
      <c r="A884" s="347">
        <f t="shared" ca="1" si="383"/>
        <v>1E-4</v>
      </c>
      <c r="B884" s="304">
        <f t="shared" ca="1" si="384"/>
        <v>37.037600000001468</v>
      </c>
      <c r="D884" s="306">
        <f t="shared" ca="1" si="385"/>
        <v>-0.65132377392580243</v>
      </c>
      <c r="E884" s="307">
        <f t="shared" ca="1" si="386"/>
        <v>-0.61511860799746643</v>
      </c>
      <c r="F884" s="304">
        <f t="shared" ca="1" si="387"/>
        <v>0.89587586215149839</v>
      </c>
      <c r="G884" s="306">
        <f t="shared" ca="1" si="388"/>
        <v>7.3914855995600046</v>
      </c>
      <c r="H884" s="307">
        <f t="shared" ca="1" si="389"/>
        <v>-104.34821369657772</v>
      </c>
      <c r="I884" s="304">
        <f t="shared" ca="1" si="390"/>
        <v>104.60967336262527</v>
      </c>
      <c r="J884" s="306">
        <f t="shared" ca="1" si="391"/>
        <v>839.7136314269211</v>
      </c>
      <c r="K884" s="307">
        <f t="shared" ca="1" si="392"/>
        <v>-4.5013197895698553</v>
      </c>
      <c r="L884" s="304">
        <f t="shared" ca="1" si="377"/>
        <v>839.72569609607342</v>
      </c>
      <c r="M884" s="306">
        <f t="shared" ca="1" si="393"/>
        <v>-1.5000796370597786</v>
      </c>
      <c r="N884" s="304">
        <f t="shared" ca="1" si="394"/>
        <v>-85.948232137041629</v>
      </c>
      <c r="P884" s="310">
        <f t="shared" ca="1" si="395"/>
        <v>23</v>
      </c>
      <c r="Q884" s="304">
        <f t="shared" ca="1" si="396"/>
        <v>0</v>
      </c>
      <c r="R884" s="306">
        <f t="shared" ca="1" si="397"/>
        <v>0</v>
      </c>
      <c r="S884" s="307">
        <f t="shared" ca="1" si="398"/>
        <v>2.9792999999999985</v>
      </c>
      <c r="T884" s="304">
        <f t="shared" ca="1" si="378"/>
        <v>29.226932999999988</v>
      </c>
      <c r="U884" s="311">
        <f t="shared" ca="1" si="379"/>
        <v>0</v>
      </c>
      <c r="V884" s="306">
        <f t="shared" ca="1" si="380"/>
        <v>1.2255515358061746</v>
      </c>
      <c r="W884" s="304">
        <f t="shared" ca="1" si="381"/>
        <v>27.463010316245406</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0.56755965012603227</v>
      </c>
      <c r="AH884" s="304">
        <f t="shared" ca="1" si="405"/>
        <v>-9.217920940834512</v>
      </c>
    </row>
    <row r="885" spans="1:34" x14ac:dyDescent="0.2">
      <c r="A885" s="347">
        <f t="shared" ca="1" si="383"/>
        <v>1E-4</v>
      </c>
      <c r="B885" s="304">
        <f t="shared" ca="1" si="384"/>
        <v>37.037700000001472</v>
      </c>
      <c r="D885" s="306">
        <f t="shared" ca="1" si="385"/>
        <v>-0.65131906764623715</v>
      </c>
      <c r="E885" s="307">
        <f t="shared" ca="1" si="386"/>
        <v>-0.61509860433862862</v>
      </c>
      <c r="F885" s="304">
        <f t="shared" ca="1" si="387"/>
        <v>0.89585870590115513</v>
      </c>
      <c r="G885" s="306">
        <f t="shared" ca="1" si="388"/>
        <v>7.3914204676532398</v>
      </c>
      <c r="H885" s="307">
        <f t="shared" ca="1" si="389"/>
        <v>-104.34827520643815</v>
      </c>
      <c r="I885" s="304">
        <f t="shared" ca="1" si="390"/>
        <v>104.60973011669707</v>
      </c>
      <c r="J885" s="306">
        <f t="shared" ca="1" si="391"/>
        <v>839.7136314269211</v>
      </c>
      <c r="K885" s="307">
        <f t="shared" ca="1" si="392"/>
        <v>-4.5117546140150058</v>
      </c>
      <c r="L885" s="304">
        <f t="shared" ca="1" si="377"/>
        <v>839.72575209641161</v>
      </c>
      <c r="M885" s="306">
        <f t="shared" ca="1" si="393"/>
        <v>-1.5000802996679921</v>
      </c>
      <c r="N885" s="304">
        <f t="shared" ca="1" si="394"/>
        <v>-85.948270101695726</v>
      </c>
      <c r="P885" s="310">
        <f t="shared" ca="1" si="395"/>
        <v>23</v>
      </c>
      <c r="Q885" s="304">
        <f t="shared" ca="1" si="396"/>
        <v>0</v>
      </c>
      <c r="R885" s="306">
        <f t="shared" ca="1" si="397"/>
        <v>0</v>
      </c>
      <c r="S885" s="307">
        <f t="shared" ca="1" si="398"/>
        <v>2.9792999999999985</v>
      </c>
      <c r="T885" s="304">
        <f t="shared" ca="1" si="378"/>
        <v>29.226932999999988</v>
      </c>
      <c r="U885" s="311">
        <f t="shared" ca="1" si="379"/>
        <v>0</v>
      </c>
      <c r="V885" s="306">
        <f t="shared" ca="1" si="380"/>
        <v>1.2255528146484187</v>
      </c>
      <c r="W885" s="304">
        <f t="shared" ca="1" si="381"/>
        <v>27.463068772581597</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0.56754048829655979</v>
      </c>
      <c r="AH885" s="304">
        <f t="shared" ca="1" si="405"/>
        <v>-9.2179405619593258</v>
      </c>
    </row>
    <row r="886" spans="1:34" x14ac:dyDescent="0.2">
      <c r="A886" s="347">
        <f t="shared" ca="1" si="383"/>
        <v>1E-4</v>
      </c>
      <c r="B886" s="304">
        <f t="shared" ca="1" si="384"/>
        <v>37.037800000001475</v>
      </c>
      <c r="D886" s="306">
        <f t="shared" ca="1" si="385"/>
        <v>-0.65131436137985044</v>
      </c>
      <c r="E886" s="307">
        <f t="shared" ca="1" si="386"/>
        <v>-0.61507860098121903</v>
      </c>
      <c r="F886" s="304">
        <f t="shared" ca="1" si="387"/>
        <v>0.89584155001018795</v>
      </c>
      <c r="G886" s="306">
        <f t="shared" ca="1" si="388"/>
        <v>7.3913553362171021</v>
      </c>
      <c r="H886" s="307">
        <f t="shared" ca="1" si="389"/>
        <v>-104.34833671429824</v>
      </c>
      <c r="I886" s="304">
        <f t="shared" ca="1" si="390"/>
        <v>104.60978686885271</v>
      </c>
      <c r="J886" s="306">
        <f t="shared" ca="1" si="391"/>
        <v>839.7136314269211</v>
      </c>
      <c r="K886" s="307">
        <f t="shared" ca="1" si="392"/>
        <v>-4.5221894446110422</v>
      </c>
      <c r="L886" s="304">
        <f t="shared" ca="1" si="377"/>
        <v>839.72580822644727</v>
      </c>
      <c r="M886" s="306">
        <f t="shared" ca="1" si="393"/>
        <v>-1.5000809622696476</v>
      </c>
      <c r="N886" s="304">
        <f t="shared" ca="1" si="394"/>
        <v>-85.948308065974089</v>
      </c>
      <c r="P886" s="310">
        <f t="shared" ca="1" si="395"/>
        <v>23</v>
      </c>
      <c r="Q886" s="304">
        <f t="shared" ca="1" si="396"/>
        <v>0</v>
      </c>
      <c r="R886" s="306">
        <f t="shared" ca="1" si="397"/>
        <v>0</v>
      </c>
      <c r="S886" s="307">
        <f t="shared" ca="1" si="398"/>
        <v>2.9792999999999985</v>
      </c>
      <c r="T886" s="304">
        <f t="shared" ca="1" si="378"/>
        <v>29.226932999999988</v>
      </c>
      <c r="U886" s="311">
        <f t="shared" ca="1" si="379"/>
        <v>0</v>
      </c>
      <c r="V886" s="306">
        <f t="shared" ca="1" si="380"/>
        <v>1.2255540934927522</v>
      </c>
      <c r="W886" s="304">
        <f t="shared" ca="1" si="381"/>
        <v>27.463127228036871</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0.56752132675394229</v>
      </c>
      <c r="AH886" s="304">
        <f t="shared" ca="1" si="405"/>
        <v>-9.2179601827884436</v>
      </c>
    </row>
    <row r="887" spans="1:34" x14ac:dyDescent="0.2">
      <c r="A887" s="347">
        <f t="shared" ca="1" si="383"/>
        <v>1E-4</v>
      </c>
      <c r="B887" s="304">
        <f t="shared" ca="1" si="384"/>
        <v>37.037900000001478</v>
      </c>
      <c r="D887" s="306">
        <f t="shared" ca="1" si="385"/>
        <v>-0.6513096551266484</v>
      </c>
      <c r="E887" s="307">
        <f t="shared" ca="1" si="386"/>
        <v>-0.61505859792521811</v>
      </c>
      <c r="F887" s="304">
        <f t="shared" ca="1" si="387"/>
        <v>0.89582439447858797</v>
      </c>
      <c r="G887" s="306">
        <f t="shared" ca="1" si="388"/>
        <v>7.3912902052515896</v>
      </c>
      <c r="H887" s="307">
        <f t="shared" ca="1" si="389"/>
        <v>-104.34839822015803</v>
      </c>
      <c r="I887" s="304">
        <f t="shared" ca="1" si="390"/>
        <v>104.60984361909222</v>
      </c>
      <c r="J887" s="306">
        <f t="shared" ca="1" si="391"/>
        <v>839.7136314269211</v>
      </c>
      <c r="K887" s="307">
        <f t="shared" ca="1" si="392"/>
        <v>-4.5326242813577649</v>
      </c>
      <c r="L887" s="304">
        <f t="shared" ca="1" si="377"/>
        <v>839.7258644861804</v>
      </c>
      <c r="M887" s="306">
        <f t="shared" ca="1" si="393"/>
        <v>-1.5000816248647455</v>
      </c>
      <c r="N887" s="304">
        <f t="shared" ca="1" si="394"/>
        <v>-85.948346029876731</v>
      </c>
      <c r="P887" s="310">
        <f t="shared" ca="1" si="395"/>
        <v>23</v>
      </c>
      <c r="Q887" s="304">
        <f t="shared" ca="1" si="396"/>
        <v>0</v>
      </c>
      <c r="R887" s="306">
        <f t="shared" ca="1" si="397"/>
        <v>0</v>
      </c>
      <c r="S887" s="307">
        <f t="shared" ca="1" si="398"/>
        <v>2.9792999999999985</v>
      </c>
      <c r="T887" s="304">
        <f t="shared" ca="1" si="378"/>
        <v>29.226932999999988</v>
      </c>
      <c r="U887" s="311">
        <f t="shared" ca="1" si="379"/>
        <v>0</v>
      </c>
      <c r="V887" s="306">
        <f t="shared" ca="1" si="380"/>
        <v>1.2255553723391739</v>
      </c>
      <c r="W887" s="304">
        <f t="shared" ca="1" si="381"/>
        <v>27.463185682611208</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0.56750216549816024</v>
      </c>
      <c r="AH887" s="304">
        <f t="shared" ca="1" si="405"/>
        <v>-9.2179798033218834</v>
      </c>
    </row>
    <row r="888" spans="1:34" x14ac:dyDescent="0.2">
      <c r="A888" s="347">
        <f t="shared" ca="1" si="383"/>
        <v>1E-4</v>
      </c>
      <c r="B888" s="304">
        <f t="shared" ca="1" si="384"/>
        <v>37.038000000001482</v>
      </c>
      <c r="D888" s="306">
        <f t="shared" ca="1" si="385"/>
        <v>-0.65130494888662949</v>
      </c>
      <c r="E888" s="307">
        <f t="shared" ca="1" si="386"/>
        <v>-0.6150385951706383</v>
      </c>
      <c r="F888" s="304">
        <f t="shared" ca="1" si="387"/>
        <v>0.89580723930636297</v>
      </c>
      <c r="G888" s="306">
        <f t="shared" ca="1" si="388"/>
        <v>7.3912250747567008</v>
      </c>
      <c r="H888" s="307">
        <f t="shared" ca="1" si="389"/>
        <v>-104.34845972401754</v>
      </c>
      <c r="I888" s="304">
        <f t="shared" ca="1" si="390"/>
        <v>104.60990036741562</v>
      </c>
      <c r="J888" s="306">
        <f t="shared" ca="1" si="391"/>
        <v>839.7136314269211</v>
      </c>
      <c r="K888" s="307">
        <f t="shared" ca="1" si="392"/>
        <v>-4.5430591242549738</v>
      </c>
      <c r="L888" s="304">
        <f t="shared" ca="1" si="377"/>
        <v>839.72592087561145</v>
      </c>
      <c r="M888" s="306">
        <f t="shared" ca="1" si="393"/>
        <v>-1.500082287453286</v>
      </c>
      <c r="N888" s="304">
        <f t="shared" ca="1" si="394"/>
        <v>-85.948383993403652</v>
      </c>
      <c r="P888" s="310">
        <f t="shared" ca="1" si="395"/>
        <v>23</v>
      </c>
      <c r="Q888" s="304">
        <f t="shared" ca="1" si="396"/>
        <v>0</v>
      </c>
      <c r="R888" s="306">
        <f t="shared" ca="1" si="397"/>
        <v>0</v>
      </c>
      <c r="S888" s="307">
        <f t="shared" ca="1" si="398"/>
        <v>2.9792999999999985</v>
      </c>
      <c r="T888" s="304">
        <f t="shared" ca="1" si="378"/>
        <v>29.226932999999988</v>
      </c>
      <c r="U888" s="311">
        <f t="shared" ca="1" si="379"/>
        <v>0</v>
      </c>
      <c r="V888" s="306">
        <f t="shared" ca="1" si="380"/>
        <v>1.2255566511876841</v>
      </c>
      <c r="W888" s="304">
        <f t="shared" ca="1" si="381"/>
        <v>27.463244136304631</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0.56748300452922251</v>
      </c>
      <c r="AH888" s="304">
        <f t="shared" ca="1" si="405"/>
        <v>-9.2179994235596361</v>
      </c>
    </row>
    <row r="889" spans="1:34" x14ac:dyDescent="0.2">
      <c r="A889" s="347">
        <f t="shared" ca="1" si="383"/>
        <v>1E-4</v>
      </c>
      <c r="B889" s="304">
        <f t="shared" ca="1" si="384"/>
        <v>37.038100000001485</v>
      </c>
      <c r="D889" s="306">
        <f t="shared" ca="1" si="385"/>
        <v>-0.65130024265979336</v>
      </c>
      <c r="E889" s="307">
        <f t="shared" ca="1" si="386"/>
        <v>-0.61501859271746717</v>
      </c>
      <c r="F889" s="304">
        <f t="shared" ca="1" si="387"/>
        <v>0.89579008449350428</v>
      </c>
      <c r="G889" s="306">
        <f t="shared" ca="1" si="388"/>
        <v>7.3911599447324345</v>
      </c>
      <c r="H889" s="307">
        <f t="shared" ca="1" si="389"/>
        <v>-104.34852122587682</v>
      </c>
      <c r="I889" s="304">
        <f t="shared" ca="1" si="390"/>
        <v>104.60995711382299</v>
      </c>
      <c r="J889" s="306">
        <f t="shared" ca="1" si="391"/>
        <v>839.7136314269211</v>
      </c>
      <c r="K889" s="307">
        <f t="shared" ca="1" si="392"/>
        <v>-4.5534939733024684</v>
      </c>
      <c r="L889" s="304">
        <f t="shared" ca="1" si="377"/>
        <v>839.72597739474043</v>
      </c>
      <c r="M889" s="306">
        <f t="shared" ca="1" si="393"/>
        <v>-1.500082950035269</v>
      </c>
      <c r="N889" s="304">
        <f t="shared" ca="1" si="394"/>
        <v>-85.948421956554867</v>
      </c>
      <c r="P889" s="310">
        <f t="shared" ca="1" si="395"/>
        <v>23</v>
      </c>
      <c r="Q889" s="304">
        <f t="shared" ca="1" si="396"/>
        <v>0</v>
      </c>
      <c r="R889" s="306">
        <f t="shared" ca="1" si="397"/>
        <v>0</v>
      </c>
      <c r="S889" s="307">
        <f t="shared" ca="1" si="398"/>
        <v>2.9792999999999985</v>
      </c>
      <c r="T889" s="304">
        <f t="shared" ca="1" si="378"/>
        <v>29.226932999999988</v>
      </c>
      <c r="U889" s="311">
        <f t="shared" ca="1" si="379"/>
        <v>0</v>
      </c>
      <c r="V889" s="306">
        <f t="shared" ca="1" si="380"/>
        <v>1.2255579300382833</v>
      </c>
      <c r="W889" s="304">
        <f t="shared" ca="1" si="381"/>
        <v>27.46330258911718</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0.56746384384712378</v>
      </c>
      <c r="AH889" s="304">
        <f t="shared" ca="1" si="405"/>
        <v>-9.2180190435017106</v>
      </c>
    </row>
    <row r="890" spans="1:34" x14ac:dyDescent="0.2">
      <c r="A890" s="347">
        <f t="shared" ca="1" si="383"/>
        <v>1E-4</v>
      </c>
      <c r="B890" s="304">
        <f t="shared" ca="1" si="384"/>
        <v>37.038200000001488</v>
      </c>
      <c r="D890" s="306">
        <f t="shared" ca="1" si="385"/>
        <v>-0.65129553644614158</v>
      </c>
      <c r="E890" s="307">
        <f t="shared" ca="1" si="386"/>
        <v>-0.61499859056569228</v>
      </c>
      <c r="F890" s="304">
        <f t="shared" ca="1" si="387"/>
        <v>0.8957729300400048</v>
      </c>
      <c r="G890" s="306">
        <f t="shared" ca="1" si="388"/>
        <v>7.3910948151787901</v>
      </c>
      <c r="H890" s="307">
        <f t="shared" ca="1" si="389"/>
        <v>-104.34858272573588</v>
      </c>
      <c r="I890" s="304">
        <f t="shared" ca="1" si="390"/>
        <v>104.61001385831429</v>
      </c>
      <c r="J890" s="306">
        <f t="shared" ca="1" si="391"/>
        <v>839.7136314269211</v>
      </c>
      <c r="K890" s="307">
        <f t="shared" ca="1" si="392"/>
        <v>-4.5639288285000488</v>
      </c>
      <c r="L890" s="304">
        <f t="shared" ca="1" si="377"/>
        <v>839.72603404356755</v>
      </c>
      <c r="M890" s="306">
        <f t="shared" ca="1" si="393"/>
        <v>-1.5000836126106945</v>
      </c>
      <c r="N890" s="304">
        <f t="shared" ca="1" si="394"/>
        <v>-85.948459919330347</v>
      </c>
      <c r="P890" s="310">
        <f t="shared" ca="1" si="395"/>
        <v>23</v>
      </c>
      <c r="Q890" s="304">
        <f t="shared" ca="1" si="396"/>
        <v>0</v>
      </c>
      <c r="R890" s="306">
        <f t="shared" ca="1" si="397"/>
        <v>0</v>
      </c>
      <c r="S890" s="307">
        <f t="shared" ca="1" si="398"/>
        <v>2.9792999999999985</v>
      </c>
      <c r="T890" s="304">
        <f t="shared" ca="1" si="378"/>
        <v>29.226932999999988</v>
      </c>
      <c r="U890" s="311">
        <f t="shared" ca="1" si="379"/>
        <v>0</v>
      </c>
      <c r="V890" s="306">
        <f t="shared" ca="1" si="380"/>
        <v>1.2255592088909701</v>
      </c>
      <c r="W890" s="304">
        <f t="shared" ca="1" si="381"/>
        <v>27.463361041048799</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0.56744468345184984</v>
      </c>
      <c r="AH890" s="304">
        <f t="shared" ca="1" si="405"/>
        <v>-9.2180386631481195</v>
      </c>
    </row>
    <row r="891" spans="1:34" x14ac:dyDescent="0.2">
      <c r="A891" s="347">
        <f t="shared" ca="1" si="383"/>
        <v>1E-4</v>
      </c>
      <c r="B891" s="304">
        <f t="shared" ca="1" si="384"/>
        <v>37.038300000001492</v>
      </c>
      <c r="D891" s="306">
        <f t="shared" ca="1" si="385"/>
        <v>-0.65129083024567647</v>
      </c>
      <c r="E891" s="307">
        <f t="shared" ca="1" si="386"/>
        <v>-0.61497858871533317</v>
      </c>
      <c r="F891" s="304">
        <f t="shared" ca="1" si="387"/>
        <v>0.89575577594587996</v>
      </c>
      <c r="G891" s="306">
        <f t="shared" ca="1" si="388"/>
        <v>7.3910296860957656</v>
      </c>
      <c r="H891" s="307">
        <f t="shared" ca="1" si="389"/>
        <v>-104.34864422359475</v>
      </c>
      <c r="I891" s="304">
        <f t="shared" ca="1" si="390"/>
        <v>104.61007060088957</v>
      </c>
      <c r="J891" s="306">
        <f t="shared" ca="1" si="391"/>
        <v>839.7136314269211</v>
      </c>
      <c r="K891" s="307">
        <f t="shared" ca="1" si="392"/>
        <v>-4.5743636898475151</v>
      </c>
      <c r="L891" s="304">
        <f t="shared" ca="1" si="377"/>
        <v>839.72609082209306</v>
      </c>
      <c r="M891" s="306">
        <f t="shared" ca="1" si="393"/>
        <v>-1.5000842751795629</v>
      </c>
      <c r="N891" s="304">
        <f t="shared" ca="1" si="394"/>
        <v>-85.948497881730148</v>
      </c>
      <c r="P891" s="310">
        <f t="shared" ca="1" si="395"/>
        <v>23</v>
      </c>
      <c r="Q891" s="304">
        <f t="shared" ca="1" si="396"/>
        <v>0</v>
      </c>
      <c r="R891" s="306">
        <f t="shared" ca="1" si="397"/>
        <v>0</v>
      </c>
      <c r="S891" s="307">
        <f t="shared" ca="1" si="398"/>
        <v>2.9792999999999985</v>
      </c>
      <c r="T891" s="304">
        <f t="shared" ca="1" si="378"/>
        <v>29.226932999999988</v>
      </c>
      <c r="U891" s="311">
        <f t="shared" ca="1" si="379"/>
        <v>0</v>
      </c>
      <c r="V891" s="306">
        <f t="shared" ca="1" si="380"/>
        <v>1.225560487745746</v>
      </c>
      <c r="W891" s="304">
        <f t="shared" ca="1" si="381"/>
        <v>27.46341949209954</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0.56742552334341489</v>
      </c>
      <c r="AH891" s="304">
        <f t="shared" ca="1" si="405"/>
        <v>-9.2180582824988466</v>
      </c>
    </row>
    <row r="892" spans="1:34" x14ac:dyDescent="0.2">
      <c r="A892" s="347">
        <f t="shared" ca="1" si="383"/>
        <v>1E-4</v>
      </c>
      <c r="B892" s="304">
        <f t="shared" ca="1" si="384"/>
        <v>37.038400000001495</v>
      </c>
      <c r="D892" s="306">
        <f t="shared" ca="1" si="385"/>
        <v>-0.65128612405839348</v>
      </c>
      <c r="E892" s="307">
        <f t="shared" ca="1" si="386"/>
        <v>-0.61495858716637208</v>
      </c>
      <c r="F892" s="304">
        <f t="shared" ca="1" si="387"/>
        <v>0.89573862221111444</v>
      </c>
      <c r="G892" s="306">
        <f t="shared" ca="1" si="388"/>
        <v>7.3909645574833593</v>
      </c>
      <c r="H892" s="307">
        <f t="shared" ca="1" si="389"/>
        <v>-104.34870571945346</v>
      </c>
      <c r="I892" s="304">
        <f t="shared" ca="1" si="390"/>
        <v>104.61012734154889</v>
      </c>
      <c r="J892" s="306">
        <f t="shared" ca="1" si="391"/>
        <v>839.7136314269211</v>
      </c>
      <c r="K892" s="307">
        <f t="shared" ca="1" si="392"/>
        <v>-4.5847985573446675</v>
      </c>
      <c r="L892" s="304">
        <f t="shared" ca="1" si="377"/>
        <v>839.72614773031717</v>
      </c>
      <c r="M892" s="306">
        <f t="shared" ca="1" si="393"/>
        <v>-1.5000849377418739</v>
      </c>
      <c r="N892" s="304">
        <f t="shared" ca="1" si="394"/>
        <v>-85.948535843754229</v>
      </c>
      <c r="P892" s="310">
        <f t="shared" ca="1" si="395"/>
        <v>23</v>
      </c>
      <c r="Q892" s="304">
        <f t="shared" ca="1" si="396"/>
        <v>0</v>
      </c>
      <c r="R892" s="306">
        <f t="shared" ca="1" si="397"/>
        <v>0</v>
      </c>
      <c r="S892" s="307">
        <f t="shared" ca="1" si="398"/>
        <v>2.9792999999999985</v>
      </c>
      <c r="T892" s="304">
        <f t="shared" ca="1" si="378"/>
        <v>29.226932999999988</v>
      </c>
      <c r="U892" s="311">
        <f t="shared" ca="1" si="379"/>
        <v>0</v>
      </c>
      <c r="V892" s="306">
        <f t="shared" ca="1" si="380"/>
        <v>1.2255617666026104</v>
      </c>
      <c r="W892" s="304">
        <f t="shared" ca="1" si="381"/>
        <v>27.463477942269414</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0.56740636352180829</v>
      </c>
      <c r="AH892" s="304">
        <f t="shared" ca="1" si="405"/>
        <v>-9.2180779015539063</v>
      </c>
    </row>
    <row r="893" spans="1:34" x14ac:dyDescent="0.2">
      <c r="A893" s="347">
        <f t="shared" ca="1" si="383"/>
        <v>1E-4</v>
      </c>
      <c r="B893" s="304">
        <f t="shared" ca="1" si="384"/>
        <v>37.038500000001498</v>
      </c>
      <c r="D893" s="306">
        <f t="shared" ca="1" si="385"/>
        <v>-0.65128141788429839</v>
      </c>
      <c r="E893" s="307">
        <f t="shared" ca="1" si="386"/>
        <v>-0.61493858591880368</v>
      </c>
      <c r="F893" s="304">
        <f t="shared" ca="1" si="387"/>
        <v>0.89572146883570902</v>
      </c>
      <c r="G893" s="306">
        <f t="shared" ca="1" si="388"/>
        <v>7.3908994293415713</v>
      </c>
      <c r="H893" s="307">
        <f t="shared" ca="1" si="389"/>
        <v>-104.34876721331206</v>
      </c>
      <c r="I893" s="304">
        <f t="shared" ca="1" si="390"/>
        <v>104.61018408029226</v>
      </c>
      <c r="J893" s="306">
        <f t="shared" ca="1" si="391"/>
        <v>839.7136314269211</v>
      </c>
      <c r="K893" s="307">
        <f t="shared" ca="1" si="392"/>
        <v>-4.5952334309913061</v>
      </c>
      <c r="L893" s="304">
        <f t="shared" ca="1" si="377"/>
        <v>839.72620476824011</v>
      </c>
      <c r="M893" s="306">
        <f t="shared" ca="1" si="393"/>
        <v>-1.5000856002976279</v>
      </c>
      <c r="N893" s="304">
        <f t="shared" ca="1" si="394"/>
        <v>-85.948573805402631</v>
      </c>
      <c r="P893" s="310">
        <f t="shared" ca="1" si="395"/>
        <v>23</v>
      </c>
      <c r="Q893" s="304">
        <f t="shared" ca="1" si="396"/>
        <v>0</v>
      </c>
      <c r="R893" s="306">
        <f t="shared" ca="1" si="397"/>
        <v>0</v>
      </c>
      <c r="S893" s="307">
        <f t="shared" ca="1" si="398"/>
        <v>2.9792999999999985</v>
      </c>
      <c r="T893" s="304">
        <f t="shared" ca="1" si="378"/>
        <v>29.226932999999988</v>
      </c>
      <c r="U893" s="311">
        <f t="shared" ca="1" si="379"/>
        <v>0</v>
      </c>
      <c r="V893" s="306">
        <f t="shared" ca="1" si="380"/>
        <v>1.2255630454615629</v>
      </c>
      <c r="W893" s="304">
        <f t="shared" ca="1" si="381"/>
        <v>27.463536391558431</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0.56738720398702291</v>
      </c>
      <c r="AH893" s="304">
        <f t="shared" ca="1" si="405"/>
        <v>-9.2180975203133038</v>
      </c>
    </row>
    <row r="894" spans="1:34" x14ac:dyDescent="0.2">
      <c r="A894" s="347">
        <f t="shared" ca="1" si="383"/>
        <v>1E-4</v>
      </c>
      <c r="B894" s="304">
        <f t="shared" ca="1" si="384"/>
        <v>37.038600000001502</v>
      </c>
      <c r="D894" s="306">
        <f t="shared" ca="1" si="385"/>
        <v>-0.65127671172338797</v>
      </c>
      <c r="E894" s="307">
        <f t="shared" ca="1" si="386"/>
        <v>-0.61491858497262619</v>
      </c>
      <c r="F894" s="304">
        <f t="shared" ca="1" si="387"/>
        <v>0.89570431581966037</v>
      </c>
      <c r="G894" s="306">
        <f t="shared" ca="1" si="388"/>
        <v>7.3908343016703988</v>
      </c>
      <c r="H894" s="307">
        <f t="shared" ca="1" si="389"/>
        <v>-104.34882870517056</v>
      </c>
      <c r="I894" s="304">
        <f t="shared" ca="1" si="390"/>
        <v>104.61024081711969</v>
      </c>
      <c r="J894" s="306">
        <f t="shared" ca="1" si="391"/>
        <v>839.7136314269211</v>
      </c>
      <c r="K894" s="307">
        <f t="shared" ca="1" si="392"/>
        <v>-4.6056683107872303</v>
      </c>
      <c r="L894" s="304">
        <f t="shared" ca="1" si="377"/>
        <v>839.72626193586211</v>
      </c>
      <c r="M894" s="306">
        <f t="shared" ca="1" si="393"/>
        <v>-1.500086262846825</v>
      </c>
      <c r="N894" s="304">
        <f t="shared" ca="1" si="394"/>
        <v>-85.948611766675342</v>
      </c>
      <c r="P894" s="310">
        <f t="shared" ca="1" si="395"/>
        <v>23</v>
      </c>
      <c r="Q894" s="304">
        <f t="shared" ca="1" si="396"/>
        <v>0</v>
      </c>
      <c r="R894" s="306">
        <f t="shared" ca="1" si="397"/>
        <v>0</v>
      </c>
      <c r="S894" s="307">
        <f t="shared" ca="1" si="398"/>
        <v>2.9792999999999985</v>
      </c>
      <c r="T894" s="304">
        <f t="shared" ca="1" si="378"/>
        <v>29.226932999999988</v>
      </c>
      <c r="U894" s="311">
        <f t="shared" ca="1" si="379"/>
        <v>0</v>
      </c>
      <c r="V894" s="306">
        <f t="shared" ca="1" si="380"/>
        <v>1.2255643243226042</v>
      </c>
      <c r="W894" s="304">
        <f t="shared" ca="1" si="381"/>
        <v>27.463594839966593</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0.56736804473905345</v>
      </c>
      <c r="AH894" s="304">
        <f t="shared" ca="1" si="405"/>
        <v>-9.2181171387770426</v>
      </c>
    </row>
    <row r="895" spans="1:34" x14ac:dyDescent="0.2">
      <c r="A895" s="347">
        <f t="shared" ca="1" si="383"/>
        <v>1E-4</v>
      </c>
      <c r="B895" s="304">
        <f t="shared" ca="1" si="384"/>
        <v>37.038700000001505</v>
      </c>
      <c r="D895" s="306">
        <f t="shared" ca="1" si="385"/>
        <v>-0.65127200557566356</v>
      </c>
      <c r="E895" s="307">
        <f t="shared" ca="1" si="386"/>
        <v>-0.61489858432783784</v>
      </c>
      <c r="F895" s="304">
        <f t="shared" ca="1" si="387"/>
        <v>0.89568716316296859</v>
      </c>
      <c r="G895" s="306">
        <f t="shared" ca="1" si="388"/>
        <v>7.3907691744698409</v>
      </c>
      <c r="H895" s="307">
        <f t="shared" ca="1" si="389"/>
        <v>-104.348890195029</v>
      </c>
      <c r="I895" s="304">
        <f t="shared" ca="1" si="390"/>
        <v>104.61029755203124</v>
      </c>
      <c r="J895" s="306">
        <f t="shared" ca="1" si="391"/>
        <v>839.7136314269211</v>
      </c>
      <c r="K895" s="307">
        <f t="shared" ca="1" si="392"/>
        <v>-4.6161031967322401</v>
      </c>
      <c r="L895" s="304">
        <f t="shared" ca="1" si="377"/>
        <v>839.72631923318329</v>
      </c>
      <c r="M895" s="306">
        <f t="shared" ca="1" si="393"/>
        <v>-1.5000869253894649</v>
      </c>
      <c r="N895" s="304">
        <f t="shared" ca="1" si="394"/>
        <v>-85.948649727572345</v>
      </c>
      <c r="P895" s="310">
        <f t="shared" ca="1" si="395"/>
        <v>23</v>
      </c>
      <c r="Q895" s="304">
        <f t="shared" ca="1" si="396"/>
        <v>0</v>
      </c>
      <c r="R895" s="306">
        <f t="shared" ca="1" si="397"/>
        <v>0</v>
      </c>
      <c r="S895" s="307">
        <f t="shared" ca="1" si="398"/>
        <v>2.9792999999999985</v>
      </c>
      <c r="T895" s="304">
        <f t="shared" ca="1" si="378"/>
        <v>29.226932999999988</v>
      </c>
      <c r="U895" s="311">
        <f t="shared" ca="1" si="379"/>
        <v>0</v>
      </c>
      <c r="V895" s="306">
        <f t="shared" ca="1" si="380"/>
        <v>1.2255656031857334</v>
      </c>
      <c r="W895" s="304">
        <f t="shared" ca="1" si="381"/>
        <v>27.463653287493909</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0.56734888577790521</v>
      </c>
      <c r="AH895" s="304">
        <f t="shared" ca="1" si="405"/>
        <v>-9.2181367569451229</v>
      </c>
    </row>
    <row r="896" spans="1:34" x14ac:dyDescent="0.2">
      <c r="A896" s="347">
        <f t="shared" ca="1" si="383"/>
        <v>1E-4</v>
      </c>
      <c r="B896" s="304">
        <f t="shared" ca="1" si="384"/>
        <v>37.038800000001508</v>
      </c>
      <c r="D896" s="306">
        <f t="shared" ca="1" si="385"/>
        <v>-0.65126729944112816</v>
      </c>
      <c r="E896" s="307">
        <f t="shared" ca="1" si="386"/>
        <v>-0.61487858398443684</v>
      </c>
      <c r="F896" s="304">
        <f t="shared" ca="1" si="387"/>
        <v>0.89567001086563469</v>
      </c>
      <c r="G896" s="306">
        <f t="shared" ca="1" si="388"/>
        <v>7.3907040477398969</v>
      </c>
      <c r="H896" s="307">
        <f t="shared" ca="1" si="389"/>
        <v>-104.3489516828874</v>
      </c>
      <c r="I896" s="304">
        <f t="shared" ca="1" si="390"/>
        <v>104.61035428502692</v>
      </c>
      <c r="J896" s="306">
        <f t="shared" ca="1" si="391"/>
        <v>839.7136314269211</v>
      </c>
      <c r="K896" s="307">
        <f t="shared" ca="1" si="392"/>
        <v>-4.6265380888261358</v>
      </c>
      <c r="L896" s="304">
        <f t="shared" ca="1" si="377"/>
        <v>839.72637666020387</v>
      </c>
      <c r="M896" s="306">
        <f t="shared" ca="1" si="393"/>
        <v>-1.500087587925548</v>
      </c>
      <c r="N896" s="304">
        <f t="shared" ca="1" si="394"/>
        <v>-85.948687688093685</v>
      </c>
      <c r="P896" s="310">
        <f t="shared" ca="1" si="395"/>
        <v>23</v>
      </c>
      <c r="Q896" s="304">
        <f t="shared" ca="1" si="396"/>
        <v>0</v>
      </c>
      <c r="R896" s="306">
        <f t="shared" ca="1" si="397"/>
        <v>0</v>
      </c>
      <c r="S896" s="307">
        <f t="shared" ca="1" si="398"/>
        <v>2.9792999999999985</v>
      </c>
      <c r="T896" s="304">
        <f t="shared" ca="1" si="378"/>
        <v>29.226932999999988</v>
      </c>
      <c r="U896" s="311">
        <f t="shared" ca="1" si="379"/>
        <v>0</v>
      </c>
      <c r="V896" s="306">
        <f t="shared" ca="1" si="380"/>
        <v>1.2255668820509511</v>
      </c>
      <c r="W896" s="304">
        <f t="shared" ca="1" si="381"/>
        <v>27.463711734140382</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0.5673297271035711</v>
      </c>
      <c r="AH896" s="304">
        <f t="shared" ca="1" si="405"/>
        <v>-9.2181563748175481</v>
      </c>
    </row>
    <row r="897" spans="1:34" x14ac:dyDescent="0.2">
      <c r="A897" s="347">
        <f t="shared" ca="1" si="383"/>
        <v>1E-4</v>
      </c>
      <c r="B897" s="304">
        <f t="shared" ca="1" si="384"/>
        <v>37.038900000001512</v>
      </c>
      <c r="D897" s="306">
        <f t="shared" ca="1" si="385"/>
        <v>-0.65126259331977909</v>
      </c>
      <c r="E897" s="307">
        <f t="shared" ca="1" si="386"/>
        <v>-0.61485858394241966</v>
      </c>
      <c r="F897" s="304">
        <f t="shared" ca="1" si="387"/>
        <v>0.89565285892765478</v>
      </c>
      <c r="G897" s="306">
        <f t="shared" ca="1" si="388"/>
        <v>7.3906389214805648</v>
      </c>
      <c r="H897" s="307">
        <f t="shared" ca="1" si="389"/>
        <v>-104.3490131687458</v>
      </c>
      <c r="I897" s="304">
        <f t="shared" ca="1" si="390"/>
        <v>104.61041101610674</v>
      </c>
      <c r="J897" s="306">
        <f t="shared" ca="1" si="391"/>
        <v>839.7136314269211</v>
      </c>
      <c r="K897" s="307">
        <f t="shared" ca="1" si="392"/>
        <v>-4.6369729870687175</v>
      </c>
      <c r="L897" s="304">
        <f t="shared" ca="1" si="377"/>
        <v>839.72643421692396</v>
      </c>
      <c r="M897" s="306">
        <f t="shared" ca="1" si="393"/>
        <v>-1.5000882504550743</v>
      </c>
      <c r="N897" s="304">
        <f t="shared" ca="1" si="394"/>
        <v>-85.948725648239346</v>
      </c>
      <c r="P897" s="310">
        <f t="shared" ca="1" si="395"/>
        <v>23</v>
      </c>
      <c r="Q897" s="304">
        <f t="shared" ca="1" si="396"/>
        <v>0</v>
      </c>
      <c r="R897" s="306">
        <f t="shared" ca="1" si="397"/>
        <v>0</v>
      </c>
      <c r="S897" s="307">
        <f t="shared" ca="1" si="398"/>
        <v>2.9792999999999985</v>
      </c>
      <c r="T897" s="304">
        <f t="shared" ca="1" si="378"/>
        <v>29.226932999999988</v>
      </c>
      <c r="U897" s="311">
        <f t="shared" ca="1" si="379"/>
        <v>0</v>
      </c>
      <c r="V897" s="306">
        <f t="shared" ca="1" si="380"/>
        <v>1.2255681609182574</v>
      </c>
      <c r="W897" s="304">
        <f t="shared" ca="1" si="381"/>
        <v>27.463770179906035</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0.56731056871605112</v>
      </c>
      <c r="AH897" s="304">
        <f t="shared" ca="1" si="405"/>
        <v>-9.2181759923943201</v>
      </c>
    </row>
    <row r="898" spans="1:34" x14ac:dyDescent="0.2">
      <c r="A898" s="347">
        <f t="shared" ca="1" si="383"/>
        <v>1E-4</v>
      </c>
      <c r="B898" s="304">
        <f t="shared" ca="1" si="384"/>
        <v>37.039000000001515</v>
      </c>
      <c r="D898" s="306">
        <f t="shared" ca="1" si="385"/>
        <v>-0.65125788721161748</v>
      </c>
      <c r="E898" s="307">
        <f t="shared" ca="1" si="386"/>
        <v>-0.61483858420178272</v>
      </c>
      <c r="F898" s="304">
        <f t="shared" ca="1" si="387"/>
        <v>0.89563570734902731</v>
      </c>
      <c r="G898" s="306">
        <f t="shared" ca="1" si="388"/>
        <v>7.3905737956918438</v>
      </c>
      <c r="H898" s="307">
        <f t="shared" ca="1" si="389"/>
        <v>-104.34907465260422</v>
      </c>
      <c r="I898" s="304">
        <f t="shared" ca="1" si="390"/>
        <v>104.61046774527077</v>
      </c>
      <c r="J898" s="306">
        <f t="shared" ca="1" si="391"/>
        <v>839.7136314269211</v>
      </c>
      <c r="K898" s="307">
        <f t="shared" ca="1" si="392"/>
        <v>-4.6474078914597854</v>
      </c>
      <c r="L898" s="304">
        <f t="shared" ca="1" si="377"/>
        <v>839.72649190334391</v>
      </c>
      <c r="M898" s="306">
        <f t="shared" ca="1" si="393"/>
        <v>-1.5000889129780439</v>
      </c>
      <c r="N898" s="304">
        <f t="shared" ca="1" si="394"/>
        <v>-85.948763608009344</v>
      </c>
      <c r="P898" s="310">
        <f t="shared" ca="1" si="395"/>
        <v>23</v>
      </c>
      <c r="Q898" s="304">
        <f t="shared" ca="1" si="396"/>
        <v>0</v>
      </c>
      <c r="R898" s="306">
        <f t="shared" ca="1" si="397"/>
        <v>0</v>
      </c>
      <c r="S898" s="307">
        <f t="shared" ca="1" si="398"/>
        <v>2.9792999999999985</v>
      </c>
      <c r="T898" s="304">
        <f t="shared" ca="1" si="378"/>
        <v>29.226932999999988</v>
      </c>
      <c r="U898" s="311">
        <f t="shared" ca="1" si="379"/>
        <v>0</v>
      </c>
      <c r="V898" s="306">
        <f t="shared" ca="1" si="380"/>
        <v>1.2255694397876518</v>
      </c>
      <c r="W898" s="304">
        <f t="shared" ca="1" si="381"/>
        <v>27.463828624790882</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0.56729141061533639</v>
      </c>
      <c r="AH898" s="304">
        <f t="shared" ca="1" si="405"/>
        <v>-9.218195609675444</v>
      </c>
    </row>
    <row r="899" spans="1:34" x14ac:dyDescent="0.2">
      <c r="A899" s="347">
        <f t="shared" ca="1" si="383"/>
        <v>1E-4</v>
      </c>
      <c r="B899" s="304">
        <f t="shared" ca="1" si="384"/>
        <v>37.039100000001518</v>
      </c>
      <c r="D899" s="306">
        <f t="shared" ca="1" si="385"/>
        <v>-0.65125318111664476</v>
      </c>
      <c r="E899" s="307">
        <f t="shared" ca="1" si="386"/>
        <v>-0.61481858476251894</v>
      </c>
      <c r="F899" s="304">
        <f t="shared" ca="1" si="387"/>
        <v>0.89561855612974883</v>
      </c>
      <c r="G899" s="306">
        <f t="shared" ca="1" si="388"/>
        <v>7.3905086703737322</v>
      </c>
      <c r="H899" s="307">
        <f t="shared" ca="1" si="389"/>
        <v>-104.3491361344627</v>
      </c>
      <c r="I899" s="304">
        <f t="shared" ca="1" si="390"/>
        <v>104.610524472519</v>
      </c>
      <c r="J899" s="306">
        <f t="shared" ca="1" si="391"/>
        <v>839.7136314269211</v>
      </c>
      <c r="K899" s="307">
        <f t="shared" ca="1" si="392"/>
        <v>-4.6578428019991387</v>
      </c>
      <c r="L899" s="304">
        <f t="shared" ca="1" si="377"/>
        <v>839.72654971946383</v>
      </c>
      <c r="M899" s="306">
        <f t="shared" ca="1" si="393"/>
        <v>-1.5000895754944568</v>
      </c>
      <c r="N899" s="304">
        <f t="shared" ca="1" si="394"/>
        <v>-85.948801567403649</v>
      </c>
      <c r="P899" s="310">
        <f t="shared" ca="1" si="395"/>
        <v>23</v>
      </c>
      <c r="Q899" s="304">
        <f t="shared" ca="1" si="396"/>
        <v>0</v>
      </c>
      <c r="R899" s="306">
        <f t="shared" ca="1" si="397"/>
        <v>0</v>
      </c>
      <c r="S899" s="307">
        <f t="shared" ca="1" si="398"/>
        <v>2.9792999999999985</v>
      </c>
      <c r="T899" s="304">
        <f t="shared" ca="1" si="378"/>
        <v>29.226932999999988</v>
      </c>
      <c r="U899" s="311">
        <f t="shared" ca="1" si="379"/>
        <v>0</v>
      </c>
      <c r="V899" s="306">
        <f t="shared" ca="1" si="380"/>
        <v>1.2255707186591349</v>
      </c>
      <c r="W899" s="304">
        <f t="shared" ca="1" si="381"/>
        <v>27.463887068794918</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0.56727225280142868</v>
      </c>
      <c r="AH899" s="304">
        <f t="shared" ca="1" si="405"/>
        <v>-9.2182152266609254</v>
      </c>
    </row>
    <row r="900" spans="1:34" x14ac:dyDescent="0.2">
      <c r="A900" s="347">
        <f t="shared" ca="1" si="383"/>
        <v>1E-4</v>
      </c>
      <c r="B900" s="304">
        <f t="shared" ca="1" si="384"/>
        <v>37.039200000001522</v>
      </c>
      <c r="D900" s="306">
        <f t="shared" ca="1" si="385"/>
        <v>-0.65124847503486172</v>
      </c>
      <c r="E900" s="307">
        <f t="shared" ca="1" si="386"/>
        <v>-0.6147985856246283</v>
      </c>
      <c r="F900" s="304">
        <f t="shared" ca="1" si="387"/>
        <v>0.89560140526982002</v>
      </c>
      <c r="G900" s="306">
        <f t="shared" ca="1" si="388"/>
        <v>7.390443545526229</v>
      </c>
      <c r="H900" s="307">
        <f t="shared" ca="1" si="389"/>
        <v>-104.34919761432126</v>
      </c>
      <c r="I900" s="304">
        <f t="shared" ca="1" si="390"/>
        <v>104.61058119785149</v>
      </c>
      <c r="J900" s="306">
        <f t="shared" ca="1" si="391"/>
        <v>839.7136314269211</v>
      </c>
      <c r="K900" s="307">
        <f t="shared" ca="1" si="392"/>
        <v>-4.6682777186865776</v>
      </c>
      <c r="L900" s="304">
        <f t="shared" ref="L900:L963" ca="1" si="406">SQRT(pos_x^2+pos_z^2)</f>
        <v>839.72660766528406</v>
      </c>
      <c r="M900" s="306">
        <f t="shared" ca="1" si="393"/>
        <v>-1.5000902380043131</v>
      </c>
      <c r="N900" s="304">
        <f t="shared" ca="1" si="394"/>
        <v>-85.948839526422304</v>
      </c>
      <c r="P900" s="310">
        <f t="shared" ca="1" si="395"/>
        <v>23</v>
      </c>
      <c r="Q900" s="304">
        <f t="shared" ca="1" si="396"/>
        <v>0</v>
      </c>
      <c r="R900" s="306">
        <f t="shared" ca="1" si="397"/>
        <v>0</v>
      </c>
      <c r="S900" s="307">
        <f t="shared" ca="1" si="398"/>
        <v>2.9792999999999985</v>
      </c>
      <c r="T900" s="304">
        <f t="shared" ref="T900:T963" ca="1" si="407">m*g</f>
        <v>29.226932999999988</v>
      </c>
      <c r="U900" s="311">
        <f t="shared" ref="U900:U963" ca="1" si="408">IF(pos_xz&lt;L_rampe,Poids*COS(Beta),0)</f>
        <v>0</v>
      </c>
      <c r="V900" s="306">
        <f t="shared" ref="V900:V963" ca="1" si="409">Rho_moyen*(20000-Alt_rampe-pos_z)/(20000+Alt_rampe+pos_z)</f>
        <v>1.225571997532706</v>
      </c>
      <c r="W900" s="304">
        <f t="shared" ref="W900:W963" ca="1" si="410">1/2*Rho*Sref*Cx*vit_xz^2</f>
        <v>27.463945511918162</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0.56725309527432266</v>
      </c>
      <c r="AH900" s="304">
        <f t="shared" ca="1" si="405"/>
        <v>-9.2182348433507642</v>
      </c>
    </row>
    <row r="901" spans="1:34" x14ac:dyDescent="0.2">
      <c r="A901" s="347">
        <f t="shared" ref="A901:A964" ca="1" si="412">IF(B900+0.01&lt;=T_ini+ROUNDUP(Temps_fin_propu,0), 0.01, IF(K900&gt;0, 0.1, 0.0001))</f>
        <v>1E-4</v>
      </c>
      <c r="B901" s="304">
        <f t="shared" ref="B901:B964" ca="1" si="413">B900+pas</f>
        <v>37.039300000001525</v>
      </c>
      <c r="D901" s="306">
        <f t="shared" ref="D901:D964" ca="1" si="414">IF(AND(L900&lt;L_rampe,Poussee&lt;Poids*SIN(M900)),0,(-W900+Poussee)/m*COS(M900)-U900/m*SIN(M900))</f>
        <v>-0.65124376896626801</v>
      </c>
      <c r="E901" s="307">
        <f t="shared" ref="E901:E964" ca="1" si="415">IF(AND(L900&lt;L_rampe,Poussee&lt;Poids*SIN(M900)),0,(-W900+Poussee)/m*SIN(M900)+U900/m*COS(M900)-Poids/m)</f>
        <v>-0.61477858678810549</v>
      </c>
      <c r="F901" s="304">
        <f t="shared" ref="F901:F964" ca="1" si="416">SQRT(acc_x^2+acc_z^2)</f>
        <v>0.8955842547692372</v>
      </c>
      <c r="G901" s="306">
        <f t="shared" ref="G901:G964" ca="1" si="417">G900+acc_x*pas</f>
        <v>7.3903784211493324</v>
      </c>
      <c r="H901" s="307">
        <f t="shared" ref="H901:H964" ca="1" si="418">H900+acc_z*pas</f>
        <v>-104.34925909217993</v>
      </c>
      <c r="I901" s="304">
        <f t="shared" ref="I901:I964" ca="1" si="419">SQRT(vit_x^2+vit_z^2)</f>
        <v>104.61063792126825</v>
      </c>
      <c r="J901" s="306">
        <f t="shared" ref="J901:J964" ca="1" si="420">J900+0.5*(vit_x+G900)*pas*(K900&gt;=0)</f>
        <v>839.7136314269211</v>
      </c>
      <c r="K901" s="307">
        <f t="shared" ref="K901:K964" ca="1" si="421">K900+0.5*(vit_z+H900)*pas</f>
        <v>-4.6787126415219022</v>
      </c>
      <c r="L901" s="304">
        <f t="shared" ca="1" si="406"/>
        <v>839.72666574080461</v>
      </c>
      <c r="M901" s="306">
        <f t="shared" ref="M901:M964" ca="1" si="422">IF(AND(L900&gt;L_rampe,G901&gt;0),ATAN2(G901,H901),$M$4)</f>
        <v>-1.5000909005076131</v>
      </c>
      <c r="N901" s="304">
        <f t="shared" ref="N901:N964" ca="1" si="423">DEGREES(Beta)</f>
        <v>-85.94887748506531</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2.9792999999999985</v>
      </c>
      <c r="T901" s="304">
        <f t="shared" ca="1" si="407"/>
        <v>29.226932999999988</v>
      </c>
      <c r="U901" s="311">
        <f t="shared" ca="1" si="408"/>
        <v>0</v>
      </c>
      <c r="V901" s="306">
        <f t="shared" ca="1" si="409"/>
        <v>1.2255732764083656</v>
      </c>
      <c r="W901" s="304">
        <f t="shared" ca="1" si="410"/>
        <v>27.464003954160621</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0.56723393803401301</v>
      </c>
      <c r="AH901" s="304">
        <f t="shared" ref="AH901:AH964" ca="1" si="434">IF(AND(L900&lt;L_rampe,Poussee&lt;Poids*SIN(M900)), g*SIN(M900), (-W900+Poussee)/m)</f>
        <v>-9.2182544597449656</v>
      </c>
    </row>
    <row r="902" spans="1:34" x14ac:dyDescent="0.2">
      <c r="A902" s="347">
        <f t="shared" ca="1" si="412"/>
        <v>1E-4</v>
      </c>
      <c r="B902" s="304">
        <f t="shared" ca="1" si="413"/>
        <v>37.039400000001528</v>
      </c>
      <c r="D902" s="306">
        <f t="shared" ca="1" si="414"/>
        <v>-0.65123906291086253</v>
      </c>
      <c r="E902" s="307">
        <f t="shared" ca="1" si="415"/>
        <v>-0.61475858825294871</v>
      </c>
      <c r="F902" s="304">
        <f t="shared" ca="1" si="416"/>
        <v>0.89556710462799882</v>
      </c>
      <c r="G902" s="306">
        <f t="shared" ca="1" si="417"/>
        <v>7.3903132972430416</v>
      </c>
      <c r="H902" s="307">
        <f t="shared" ca="1" si="418"/>
        <v>-104.34932056803876</v>
      </c>
      <c r="I902" s="304">
        <f t="shared" ca="1" si="419"/>
        <v>104.61069464276932</v>
      </c>
      <c r="J902" s="306">
        <f t="shared" ca="1" si="420"/>
        <v>839.7136314269211</v>
      </c>
      <c r="K902" s="307">
        <f t="shared" ca="1" si="421"/>
        <v>-4.6891475705049128</v>
      </c>
      <c r="L902" s="304">
        <f t="shared" ca="1" si="406"/>
        <v>839.7267239460258</v>
      </c>
      <c r="M902" s="306">
        <f t="shared" ca="1" si="422"/>
        <v>-1.5000915630043565</v>
      </c>
      <c r="N902" s="304">
        <f t="shared" ca="1" si="423"/>
        <v>-85.948915443332652</v>
      </c>
      <c r="P902" s="310">
        <f t="shared" ca="1" si="424"/>
        <v>23</v>
      </c>
      <c r="Q902" s="304">
        <f t="shared" ca="1" si="425"/>
        <v>0</v>
      </c>
      <c r="R902" s="306">
        <f t="shared" ca="1" si="426"/>
        <v>0</v>
      </c>
      <c r="S902" s="307">
        <f t="shared" ca="1" si="427"/>
        <v>2.9792999999999985</v>
      </c>
      <c r="T902" s="304">
        <f t="shared" ca="1" si="407"/>
        <v>29.226932999999988</v>
      </c>
      <c r="U902" s="311">
        <f t="shared" ca="1" si="408"/>
        <v>0</v>
      </c>
      <c r="V902" s="306">
        <f t="shared" ca="1" si="409"/>
        <v>1.225574555286113</v>
      </c>
      <c r="W902" s="304">
        <f t="shared" ca="1" si="410"/>
        <v>27.464062395522305</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0.56721478108050327</v>
      </c>
      <c r="AH902" s="304">
        <f t="shared" ca="1" si="434"/>
        <v>-9.2182740758435315</v>
      </c>
    </row>
    <row r="903" spans="1:34" x14ac:dyDescent="0.2">
      <c r="A903" s="347">
        <f t="shared" ca="1" si="412"/>
        <v>1E-4</v>
      </c>
      <c r="B903" s="304">
        <f t="shared" ca="1" si="413"/>
        <v>37.039500000001532</v>
      </c>
      <c r="D903" s="306">
        <f t="shared" ca="1" si="414"/>
        <v>-0.65123435686864861</v>
      </c>
      <c r="E903" s="307">
        <f t="shared" ca="1" si="415"/>
        <v>-0.61473859001915443</v>
      </c>
      <c r="F903" s="304">
        <f t="shared" ca="1" si="416"/>
        <v>0.89554995484610489</v>
      </c>
      <c r="G903" s="306">
        <f t="shared" ca="1" si="417"/>
        <v>7.3902481738073549</v>
      </c>
      <c r="H903" s="307">
        <f t="shared" ca="1" si="418"/>
        <v>-104.34938204189777</v>
      </c>
      <c r="I903" s="304">
        <f t="shared" ca="1" si="419"/>
        <v>104.61075136235472</v>
      </c>
      <c r="J903" s="306">
        <f t="shared" ca="1" si="420"/>
        <v>839.7136314269211</v>
      </c>
      <c r="K903" s="307">
        <f t="shared" ca="1" si="421"/>
        <v>-4.6995825056354095</v>
      </c>
      <c r="L903" s="304">
        <f t="shared" ca="1" si="406"/>
        <v>839.72678228094787</v>
      </c>
      <c r="M903" s="306">
        <f t="shared" ca="1" si="422"/>
        <v>-1.5000922254945437</v>
      </c>
      <c r="N903" s="304">
        <f t="shared" ca="1" si="423"/>
        <v>-85.948953401224344</v>
      </c>
      <c r="P903" s="310">
        <f t="shared" ca="1" si="424"/>
        <v>23</v>
      </c>
      <c r="Q903" s="304">
        <f t="shared" ca="1" si="425"/>
        <v>0</v>
      </c>
      <c r="R903" s="306">
        <f t="shared" ca="1" si="426"/>
        <v>0</v>
      </c>
      <c r="S903" s="307">
        <f t="shared" ca="1" si="427"/>
        <v>2.9792999999999985</v>
      </c>
      <c r="T903" s="304">
        <f t="shared" ca="1" si="407"/>
        <v>29.226932999999988</v>
      </c>
      <c r="U903" s="311">
        <f t="shared" ca="1" si="408"/>
        <v>0</v>
      </c>
      <c r="V903" s="306">
        <f t="shared" ca="1" si="409"/>
        <v>1.2255758341659493</v>
      </c>
      <c r="W903" s="304">
        <f t="shared" ca="1" si="410"/>
        <v>27.464120836003246</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0.5671956244137828</v>
      </c>
      <c r="AH903" s="304">
        <f t="shared" ca="1" si="434"/>
        <v>-9.2182936916464673</v>
      </c>
    </row>
    <row r="904" spans="1:34" x14ac:dyDescent="0.2">
      <c r="A904" s="347">
        <f t="shared" ca="1" si="412"/>
        <v>1E-4</v>
      </c>
      <c r="B904" s="304">
        <f t="shared" ca="1" si="413"/>
        <v>37.039600000001535</v>
      </c>
      <c r="D904" s="306">
        <f t="shared" ca="1" si="414"/>
        <v>-0.65122965083962592</v>
      </c>
      <c r="E904" s="307">
        <f t="shared" ca="1" si="415"/>
        <v>-0.61471859208671198</v>
      </c>
      <c r="F904" s="304">
        <f t="shared" ca="1" si="416"/>
        <v>0.89553280542354807</v>
      </c>
      <c r="G904" s="306">
        <f t="shared" ca="1" si="417"/>
        <v>7.3901830508422712</v>
      </c>
      <c r="H904" s="307">
        <f t="shared" ca="1" si="418"/>
        <v>-104.34944351375698</v>
      </c>
      <c r="I904" s="304">
        <f t="shared" ca="1" si="419"/>
        <v>104.61080808002448</v>
      </c>
      <c r="J904" s="306">
        <f t="shared" ca="1" si="420"/>
        <v>839.7136314269211</v>
      </c>
      <c r="K904" s="307">
        <f t="shared" ca="1" si="421"/>
        <v>-4.7100174469131924</v>
      </c>
      <c r="L904" s="304">
        <f t="shared" ca="1" si="406"/>
        <v>839.72684074557083</v>
      </c>
      <c r="M904" s="306">
        <f t="shared" ca="1" si="422"/>
        <v>-1.5000928879781745</v>
      </c>
      <c r="N904" s="304">
        <f t="shared" ca="1" si="423"/>
        <v>-85.948991358740386</v>
      </c>
      <c r="P904" s="310">
        <f t="shared" ca="1" si="424"/>
        <v>23</v>
      </c>
      <c r="Q904" s="304">
        <f t="shared" ca="1" si="425"/>
        <v>0</v>
      </c>
      <c r="R904" s="306">
        <f t="shared" ca="1" si="426"/>
        <v>0</v>
      </c>
      <c r="S904" s="307">
        <f t="shared" ca="1" si="427"/>
        <v>2.9792999999999985</v>
      </c>
      <c r="T904" s="304">
        <f t="shared" ca="1" si="407"/>
        <v>29.226932999999988</v>
      </c>
      <c r="U904" s="311">
        <f t="shared" ca="1" si="408"/>
        <v>0</v>
      </c>
      <c r="V904" s="306">
        <f t="shared" ca="1" si="409"/>
        <v>1.2255771130478732</v>
      </c>
      <c r="W904" s="304">
        <f t="shared" ca="1" si="410"/>
        <v>27.464179275603403</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0.56717646803384625</v>
      </c>
      <c r="AH904" s="304">
        <f t="shared" ca="1" si="434"/>
        <v>-9.2183133071537817</v>
      </c>
    </row>
    <row r="905" spans="1:34" x14ac:dyDescent="0.2">
      <c r="A905" s="347">
        <f t="shared" ca="1" si="412"/>
        <v>1E-4</v>
      </c>
      <c r="B905" s="304">
        <f t="shared" ca="1" si="413"/>
        <v>37.039700000001538</v>
      </c>
      <c r="D905" s="306">
        <f t="shared" ca="1" si="414"/>
        <v>-0.65122494482379445</v>
      </c>
      <c r="E905" s="307">
        <f t="shared" ca="1" si="415"/>
        <v>-0.61469859445563557</v>
      </c>
      <c r="F905" s="304">
        <f t="shared" ca="1" si="416"/>
        <v>0.89551565636033859</v>
      </c>
      <c r="G905" s="306">
        <f t="shared" ca="1" si="417"/>
        <v>7.3901179283477889</v>
      </c>
      <c r="H905" s="307">
        <f t="shared" ca="1" si="418"/>
        <v>-104.34950498361643</v>
      </c>
      <c r="I905" s="304">
        <f t="shared" ca="1" si="419"/>
        <v>104.61086479577864</v>
      </c>
      <c r="J905" s="306">
        <f t="shared" ca="1" si="420"/>
        <v>839.7136314269211</v>
      </c>
      <c r="K905" s="307">
        <f t="shared" ca="1" si="421"/>
        <v>-4.7204523943380607</v>
      </c>
      <c r="L905" s="304">
        <f t="shared" ca="1" si="406"/>
        <v>839.72689933989511</v>
      </c>
      <c r="M905" s="306">
        <f t="shared" ca="1" si="422"/>
        <v>-1.5000935504552493</v>
      </c>
      <c r="N905" s="304">
        <f t="shared" ca="1" si="423"/>
        <v>-85.949029315880793</v>
      </c>
      <c r="P905" s="310">
        <f t="shared" ca="1" si="424"/>
        <v>23</v>
      </c>
      <c r="Q905" s="304">
        <f t="shared" ca="1" si="425"/>
        <v>0</v>
      </c>
      <c r="R905" s="306">
        <f t="shared" ca="1" si="426"/>
        <v>0</v>
      </c>
      <c r="S905" s="307">
        <f t="shared" ca="1" si="427"/>
        <v>2.9792999999999985</v>
      </c>
      <c r="T905" s="304">
        <f t="shared" ca="1" si="407"/>
        <v>29.226932999999988</v>
      </c>
      <c r="U905" s="311">
        <f t="shared" ca="1" si="408"/>
        <v>0</v>
      </c>
      <c r="V905" s="306">
        <f t="shared" ca="1" si="409"/>
        <v>1.2255783919318852</v>
      </c>
      <c r="W905" s="304">
        <f t="shared" ca="1" si="410"/>
        <v>27.464237714322824</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0.56715731194070607</v>
      </c>
      <c r="AH905" s="304">
        <f t="shared" ca="1" si="434"/>
        <v>-9.2183329223654606</v>
      </c>
    </row>
    <row r="906" spans="1:34" x14ac:dyDescent="0.2">
      <c r="A906" s="347">
        <f t="shared" ca="1" si="412"/>
        <v>1E-4</v>
      </c>
      <c r="B906" s="304">
        <f t="shared" ca="1" si="413"/>
        <v>37.039800000001541</v>
      </c>
      <c r="D906" s="306">
        <f t="shared" ca="1" si="414"/>
        <v>-0.65122023882115432</v>
      </c>
      <c r="E906" s="307">
        <f t="shared" ca="1" si="415"/>
        <v>-0.61467859712590744</v>
      </c>
      <c r="F906" s="304">
        <f t="shared" ca="1" si="416"/>
        <v>0.89549850765646444</v>
      </c>
      <c r="G906" s="306">
        <f t="shared" ca="1" si="417"/>
        <v>7.390052806323907</v>
      </c>
      <c r="H906" s="307">
        <f t="shared" ca="1" si="418"/>
        <v>-104.34956645147614</v>
      </c>
      <c r="I906" s="304">
        <f t="shared" ca="1" si="419"/>
        <v>104.6109215096172</v>
      </c>
      <c r="J906" s="306">
        <f t="shared" ca="1" si="420"/>
        <v>839.7136314269211</v>
      </c>
      <c r="K906" s="307">
        <f t="shared" ca="1" si="421"/>
        <v>-4.7308873479098157</v>
      </c>
      <c r="L906" s="304">
        <f t="shared" ca="1" si="406"/>
        <v>839.72695806392073</v>
      </c>
      <c r="M906" s="306">
        <f t="shared" ca="1" si="422"/>
        <v>-1.5000942129257679</v>
      </c>
      <c r="N906" s="304">
        <f t="shared" ca="1" si="423"/>
        <v>-85.949067272645564</v>
      </c>
      <c r="P906" s="310">
        <f t="shared" ca="1" si="424"/>
        <v>23</v>
      </c>
      <c r="Q906" s="304">
        <f t="shared" ca="1" si="425"/>
        <v>0</v>
      </c>
      <c r="R906" s="306">
        <f t="shared" ca="1" si="426"/>
        <v>0</v>
      </c>
      <c r="S906" s="307">
        <f t="shared" ca="1" si="427"/>
        <v>2.9792999999999985</v>
      </c>
      <c r="T906" s="304">
        <f t="shared" ca="1" si="407"/>
        <v>29.226932999999988</v>
      </c>
      <c r="U906" s="311">
        <f t="shared" ca="1" si="408"/>
        <v>0</v>
      </c>
      <c r="V906" s="306">
        <f t="shared" ca="1" si="409"/>
        <v>1.2255796708179858</v>
      </c>
      <c r="W906" s="304">
        <f t="shared" ca="1" si="410"/>
        <v>27.464296152161513</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0.56713815613434448</v>
      </c>
      <c r="AH906" s="304">
        <f t="shared" ca="1" si="434"/>
        <v>-9.2183525372815218</v>
      </c>
    </row>
    <row r="907" spans="1:34" x14ac:dyDescent="0.2">
      <c r="A907" s="347">
        <f t="shared" ca="1" si="412"/>
        <v>1E-4</v>
      </c>
      <c r="B907" s="304">
        <f t="shared" ca="1" si="413"/>
        <v>37.039900000001545</v>
      </c>
      <c r="D907" s="306">
        <f t="shared" ca="1" si="414"/>
        <v>-0.65121553283170652</v>
      </c>
      <c r="E907" s="307">
        <f t="shared" ca="1" si="415"/>
        <v>-0.6146586000975276</v>
      </c>
      <c r="F907" s="304">
        <f t="shared" ca="1" si="416"/>
        <v>0.89548135931192663</v>
      </c>
      <c r="G907" s="306">
        <f t="shared" ca="1" si="417"/>
        <v>7.3899876847706238</v>
      </c>
      <c r="H907" s="307">
        <f t="shared" ca="1" si="418"/>
        <v>-104.34962791733615</v>
      </c>
      <c r="I907" s="304">
        <f t="shared" ca="1" si="419"/>
        <v>104.61097822154021</v>
      </c>
      <c r="J907" s="306">
        <f t="shared" ca="1" si="420"/>
        <v>839.7136314269211</v>
      </c>
      <c r="K907" s="307">
        <f t="shared" ca="1" si="421"/>
        <v>-4.7413223076282565</v>
      </c>
      <c r="L907" s="304">
        <f t="shared" ca="1" si="406"/>
        <v>839.72701691764803</v>
      </c>
      <c r="M907" s="306">
        <f t="shared" ca="1" si="422"/>
        <v>-1.5000948753897305</v>
      </c>
      <c r="N907" s="304">
        <f t="shared" ca="1" si="423"/>
        <v>-85.9491052290347</v>
      </c>
      <c r="P907" s="310">
        <f t="shared" ca="1" si="424"/>
        <v>23</v>
      </c>
      <c r="Q907" s="304">
        <f t="shared" ca="1" si="425"/>
        <v>0</v>
      </c>
      <c r="R907" s="306">
        <f t="shared" ca="1" si="426"/>
        <v>0</v>
      </c>
      <c r="S907" s="307">
        <f t="shared" ca="1" si="427"/>
        <v>2.9792999999999985</v>
      </c>
      <c r="T907" s="304">
        <f t="shared" ca="1" si="407"/>
        <v>29.226932999999988</v>
      </c>
      <c r="U907" s="311">
        <f t="shared" ca="1" si="408"/>
        <v>0</v>
      </c>
      <c r="V907" s="306">
        <f t="shared" ca="1" si="409"/>
        <v>1.2255809497061747</v>
      </c>
      <c r="W907" s="304">
        <f t="shared" ca="1" si="410"/>
        <v>27.464354589119484</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0.56711900061476328</v>
      </c>
      <c r="AH907" s="304">
        <f t="shared" ca="1" si="434"/>
        <v>-9.2183721519019652</v>
      </c>
    </row>
    <row r="908" spans="1:34" x14ac:dyDescent="0.2">
      <c r="A908" s="347">
        <f t="shared" ca="1" si="412"/>
        <v>1E-4</v>
      </c>
      <c r="B908" s="304">
        <f t="shared" ca="1" si="413"/>
        <v>37.040000000001548</v>
      </c>
      <c r="D908" s="306">
        <f t="shared" ca="1" si="414"/>
        <v>-0.65121082685545262</v>
      </c>
      <c r="E908" s="307">
        <f t="shared" ca="1" si="415"/>
        <v>-0.61463860337048892</v>
      </c>
      <c r="F908" s="304">
        <f t="shared" ca="1" si="416"/>
        <v>0.8954642113267216</v>
      </c>
      <c r="G908" s="306">
        <f t="shared" ca="1" si="417"/>
        <v>7.3899225636879384</v>
      </c>
      <c r="H908" s="307">
        <f t="shared" ca="1" si="418"/>
        <v>-104.34968938119648</v>
      </c>
      <c r="I908" s="304">
        <f t="shared" ca="1" si="419"/>
        <v>104.61103493154771</v>
      </c>
      <c r="J908" s="306">
        <f t="shared" ca="1" si="420"/>
        <v>839.7136314269211</v>
      </c>
      <c r="K908" s="307">
        <f t="shared" ca="1" si="421"/>
        <v>-4.7517572734931832</v>
      </c>
      <c r="L908" s="304">
        <f t="shared" ca="1" si="406"/>
        <v>839.72707590107711</v>
      </c>
      <c r="M908" s="306">
        <f t="shared" ca="1" si="422"/>
        <v>-1.5000955378471372</v>
      </c>
      <c r="N908" s="304">
        <f t="shared" ca="1" si="423"/>
        <v>-85.949143185048214</v>
      </c>
      <c r="P908" s="310">
        <f t="shared" ca="1" si="424"/>
        <v>23</v>
      </c>
      <c r="Q908" s="304">
        <f t="shared" ca="1" si="425"/>
        <v>0</v>
      </c>
      <c r="R908" s="306">
        <f t="shared" ca="1" si="426"/>
        <v>0</v>
      </c>
      <c r="S908" s="307">
        <f t="shared" ca="1" si="427"/>
        <v>2.9792999999999985</v>
      </c>
      <c r="T908" s="304">
        <f t="shared" ca="1" si="407"/>
        <v>29.226932999999988</v>
      </c>
      <c r="U908" s="311">
        <f t="shared" ca="1" si="408"/>
        <v>0</v>
      </c>
      <c r="V908" s="306">
        <f t="shared" ca="1" si="409"/>
        <v>1.2255822285964515</v>
      </c>
      <c r="W908" s="304">
        <f t="shared" ca="1" si="410"/>
        <v>27.464413025196745</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0.56709984538195535</v>
      </c>
      <c r="AH908" s="304">
        <f t="shared" ca="1" si="434"/>
        <v>-9.218391766226798</v>
      </c>
    </row>
    <row r="909" spans="1:34" x14ac:dyDescent="0.2">
      <c r="A909" s="347">
        <f t="shared" ca="1" si="412"/>
        <v>1E-4</v>
      </c>
      <c r="B909" s="304">
        <f t="shared" ca="1" si="413"/>
        <v>37.040100000001551</v>
      </c>
      <c r="D909" s="306">
        <f t="shared" ca="1" si="414"/>
        <v>-0.65120612089239127</v>
      </c>
      <c r="E909" s="307">
        <f t="shared" ca="1" si="415"/>
        <v>-0.61461860694478965</v>
      </c>
      <c r="F909" s="304">
        <f t="shared" ca="1" si="416"/>
        <v>0.89544706370084737</v>
      </c>
      <c r="G909" s="306">
        <f t="shared" ca="1" si="417"/>
        <v>7.389857443075849</v>
      </c>
      <c r="H909" s="307">
        <f t="shared" ca="1" si="418"/>
        <v>-104.34975084305718</v>
      </c>
      <c r="I909" s="304">
        <f t="shared" ca="1" si="419"/>
        <v>104.61109163963971</v>
      </c>
      <c r="J909" s="306">
        <f t="shared" ca="1" si="420"/>
        <v>839.7136314269211</v>
      </c>
      <c r="K909" s="307">
        <f t="shared" ca="1" si="421"/>
        <v>-4.7621922455043961</v>
      </c>
      <c r="L909" s="304">
        <f t="shared" ca="1" si="406"/>
        <v>839.72713501420822</v>
      </c>
      <c r="M909" s="306">
        <f t="shared" ca="1" si="422"/>
        <v>-1.5000962002979881</v>
      </c>
      <c r="N909" s="304">
        <f t="shared" ca="1" si="423"/>
        <v>-85.949181140686107</v>
      </c>
      <c r="P909" s="310">
        <f t="shared" ca="1" si="424"/>
        <v>23</v>
      </c>
      <c r="Q909" s="304">
        <f t="shared" ca="1" si="425"/>
        <v>0</v>
      </c>
      <c r="R909" s="306">
        <f t="shared" ca="1" si="426"/>
        <v>0</v>
      </c>
      <c r="S909" s="307">
        <f t="shared" ca="1" si="427"/>
        <v>2.9792999999999985</v>
      </c>
      <c r="T909" s="304">
        <f t="shared" ca="1" si="407"/>
        <v>29.226932999999988</v>
      </c>
      <c r="U909" s="311">
        <f t="shared" ca="1" si="408"/>
        <v>0</v>
      </c>
      <c r="V909" s="306">
        <f t="shared" ca="1" si="409"/>
        <v>1.2255835074888162</v>
      </c>
      <c r="W909" s="304">
        <f t="shared" ca="1" si="410"/>
        <v>27.464471460393295</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0.56708069043591891</v>
      </c>
      <c r="AH909" s="304">
        <f t="shared" ca="1" si="434"/>
        <v>-9.2184113802560201</v>
      </c>
    </row>
    <row r="910" spans="1:34" x14ac:dyDescent="0.2">
      <c r="A910" s="347">
        <f t="shared" ca="1" si="412"/>
        <v>1E-4</v>
      </c>
      <c r="B910" s="304">
        <f t="shared" ca="1" si="413"/>
        <v>37.040200000001555</v>
      </c>
      <c r="D910" s="306">
        <f t="shared" ca="1" si="414"/>
        <v>-0.65120141494252382</v>
      </c>
      <c r="E910" s="307">
        <f t="shared" ca="1" si="415"/>
        <v>-0.61459861082043332</v>
      </c>
      <c r="F910" s="304">
        <f t="shared" ca="1" si="416"/>
        <v>0.89542991643430792</v>
      </c>
      <c r="G910" s="306">
        <f t="shared" ca="1" si="417"/>
        <v>7.3897923229343547</v>
      </c>
      <c r="H910" s="307">
        <f t="shared" ca="1" si="418"/>
        <v>-104.34981230291827</v>
      </c>
      <c r="I910" s="304">
        <f t="shared" ca="1" si="419"/>
        <v>104.61114834581623</v>
      </c>
      <c r="J910" s="306">
        <f t="shared" ca="1" si="420"/>
        <v>839.7136314269211</v>
      </c>
      <c r="K910" s="307">
        <f t="shared" ca="1" si="421"/>
        <v>-4.7726272236616953</v>
      </c>
      <c r="L910" s="304">
        <f t="shared" ca="1" si="406"/>
        <v>839.72719425704145</v>
      </c>
      <c r="M910" s="306">
        <f t="shared" ca="1" si="422"/>
        <v>-1.5000968627422833</v>
      </c>
      <c r="N910" s="304">
        <f t="shared" ca="1" si="423"/>
        <v>-85.949219095948379</v>
      </c>
      <c r="P910" s="310">
        <f t="shared" ca="1" si="424"/>
        <v>23</v>
      </c>
      <c r="Q910" s="304">
        <f t="shared" ca="1" si="425"/>
        <v>0</v>
      </c>
      <c r="R910" s="306">
        <f t="shared" ca="1" si="426"/>
        <v>0</v>
      </c>
      <c r="S910" s="307">
        <f t="shared" ca="1" si="427"/>
        <v>2.9792999999999985</v>
      </c>
      <c r="T910" s="304">
        <f t="shared" ca="1" si="407"/>
        <v>29.226932999999988</v>
      </c>
      <c r="U910" s="311">
        <f t="shared" ca="1" si="408"/>
        <v>0</v>
      </c>
      <c r="V910" s="306">
        <f t="shared" ca="1" si="409"/>
        <v>1.2255847863832692</v>
      </c>
      <c r="W910" s="304">
        <f t="shared" ca="1" si="410"/>
        <v>27.464529894709148</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0.56706153577665752</v>
      </c>
      <c r="AH910" s="304">
        <f t="shared" ca="1" si="434"/>
        <v>-9.2184309939896316</v>
      </c>
    </row>
    <row r="911" spans="1:34" x14ac:dyDescent="0.2">
      <c r="A911" s="347">
        <f t="shared" ca="1" si="412"/>
        <v>1E-4</v>
      </c>
      <c r="B911" s="304">
        <f t="shared" ca="1" si="413"/>
        <v>37.040300000001558</v>
      </c>
      <c r="D911" s="306">
        <f t="shared" ca="1" si="414"/>
        <v>-0.65119670900584947</v>
      </c>
      <c r="E911" s="307">
        <f t="shared" ca="1" si="415"/>
        <v>-0.61457861499741107</v>
      </c>
      <c r="F911" s="304">
        <f t="shared" ca="1" si="416"/>
        <v>0.89541276952709636</v>
      </c>
      <c r="G911" s="306">
        <f t="shared" ca="1" si="417"/>
        <v>7.3897272032634538</v>
      </c>
      <c r="H911" s="307">
        <f t="shared" ca="1" si="418"/>
        <v>-104.34987376077977</v>
      </c>
      <c r="I911" s="304">
        <f t="shared" ca="1" si="419"/>
        <v>104.61120505007734</v>
      </c>
      <c r="J911" s="306">
        <f t="shared" ca="1" si="420"/>
        <v>839.7136314269211</v>
      </c>
      <c r="K911" s="307">
        <f t="shared" ca="1" si="421"/>
        <v>-4.7830622079648801</v>
      </c>
      <c r="L911" s="304">
        <f t="shared" ca="1" si="406"/>
        <v>839.72725362957726</v>
      </c>
      <c r="M911" s="306">
        <f t="shared" ca="1" si="422"/>
        <v>-1.5000975251800226</v>
      </c>
      <c r="N911" s="304">
        <f t="shared" ca="1" si="423"/>
        <v>-85.94925705083503</v>
      </c>
      <c r="P911" s="310">
        <f t="shared" ca="1" si="424"/>
        <v>23</v>
      </c>
      <c r="Q911" s="304">
        <f t="shared" ca="1" si="425"/>
        <v>0</v>
      </c>
      <c r="R911" s="306">
        <f t="shared" ca="1" si="426"/>
        <v>0</v>
      </c>
      <c r="S911" s="307">
        <f t="shared" ca="1" si="427"/>
        <v>2.9792999999999985</v>
      </c>
      <c r="T911" s="304">
        <f t="shared" ca="1" si="407"/>
        <v>29.226932999999988</v>
      </c>
      <c r="U911" s="311">
        <f t="shared" ca="1" si="408"/>
        <v>0</v>
      </c>
      <c r="V911" s="306">
        <f t="shared" ca="1" si="409"/>
        <v>1.2255860652798103</v>
      </c>
      <c r="W911" s="304">
        <f t="shared" ca="1" si="410"/>
        <v>27.464588328144334</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0.5670423814041623</v>
      </c>
      <c r="AH911" s="304">
        <f t="shared" ca="1" si="434"/>
        <v>-9.2184506074276378</v>
      </c>
    </row>
    <row r="912" spans="1:34" x14ac:dyDescent="0.2">
      <c r="A912" s="347">
        <f t="shared" ca="1" si="412"/>
        <v>1E-4</v>
      </c>
      <c r="B912" s="304">
        <f t="shared" ca="1" si="413"/>
        <v>37.040400000001561</v>
      </c>
      <c r="D912" s="306">
        <f t="shared" ca="1" si="414"/>
        <v>-0.65119200308237191</v>
      </c>
      <c r="E912" s="307">
        <f t="shared" ca="1" si="415"/>
        <v>-0.61455861947571577</v>
      </c>
      <c r="F912" s="304">
        <f t="shared" ca="1" si="416"/>
        <v>0.89539562297921105</v>
      </c>
      <c r="G912" s="306">
        <f t="shared" ca="1" si="417"/>
        <v>7.3896620840631453</v>
      </c>
      <c r="H912" s="307">
        <f t="shared" ca="1" si="418"/>
        <v>-104.34993521664173</v>
      </c>
      <c r="I912" s="304">
        <f t="shared" ca="1" si="419"/>
        <v>104.61126175242303</v>
      </c>
      <c r="J912" s="306">
        <f t="shared" ca="1" si="420"/>
        <v>839.7136314269211</v>
      </c>
      <c r="K912" s="307">
        <f t="shared" ca="1" si="421"/>
        <v>-4.7934971984137515</v>
      </c>
      <c r="L912" s="304">
        <f t="shared" ca="1" si="406"/>
        <v>839.72731313181566</v>
      </c>
      <c r="M912" s="306">
        <f t="shared" ca="1" si="422"/>
        <v>-1.5000981876112065</v>
      </c>
      <c r="N912" s="304">
        <f t="shared" ca="1" si="423"/>
        <v>-85.949295005346087</v>
      </c>
      <c r="P912" s="310">
        <f t="shared" ca="1" si="424"/>
        <v>23</v>
      </c>
      <c r="Q912" s="304">
        <f t="shared" ca="1" si="425"/>
        <v>0</v>
      </c>
      <c r="R912" s="306">
        <f t="shared" ca="1" si="426"/>
        <v>0</v>
      </c>
      <c r="S912" s="307">
        <f t="shared" ca="1" si="427"/>
        <v>2.9792999999999985</v>
      </c>
      <c r="T912" s="304">
        <f t="shared" ca="1" si="407"/>
        <v>29.226932999999988</v>
      </c>
      <c r="U912" s="311">
        <f t="shared" ca="1" si="408"/>
        <v>0</v>
      </c>
      <c r="V912" s="306">
        <f t="shared" ca="1" si="409"/>
        <v>1.2255873441784395</v>
      </c>
      <c r="W912" s="304">
        <f t="shared" ca="1" si="410"/>
        <v>27.464646760698834</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0.56702322731842614</v>
      </c>
      <c r="AH912" s="304">
        <f t="shared" ca="1" si="434"/>
        <v>-9.2184702205700493</v>
      </c>
    </row>
    <row r="913" spans="1:34" x14ac:dyDescent="0.2">
      <c r="A913" s="347">
        <f t="shared" ca="1" si="412"/>
        <v>1E-4</v>
      </c>
      <c r="B913" s="304">
        <f t="shared" ca="1" si="413"/>
        <v>37.040500000001565</v>
      </c>
      <c r="D913" s="306">
        <f t="shared" ca="1" si="414"/>
        <v>-0.65118729717208756</v>
      </c>
      <c r="E913" s="307">
        <f t="shared" ca="1" si="415"/>
        <v>-0.61453862425534922</v>
      </c>
      <c r="F913" s="304">
        <f t="shared" ca="1" si="416"/>
        <v>0.89537847679065086</v>
      </c>
      <c r="G913" s="306">
        <f t="shared" ca="1" si="417"/>
        <v>7.3895969653334284</v>
      </c>
      <c r="H913" s="307">
        <f t="shared" ca="1" si="418"/>
        <v>-104.34999667050415</v>
      </c>
      <c r="I913" s="304">
        <f t="shared" ca="1" si="419"/>
        <v>104.61131845285334</v>
      </c>
      <c r="J913" s="306">
        <f t="shared" ca="1" si="420"/>
        <v>839.7136314269211</v>
      </c>
      <c r="K913" s="307">
        <f t="shared" ca="1" si="421"/>
        <v>-4.8039321950081089</v>
      </c>
      <c r="L913" s="304">
        <f t="shared" ca="1" si="406"/>
        <v>839.72737276375676</v>
      </c>
      <c r="M913" s="306">
        <f t="shared" ca="1" si="422"/>
        <v>-1.5000988500358348</v>
      </c>
      <c r="N913" s="304">
        <f t="shared" ca="1" si="423"/>
        <v>-85.949332959481538</v>
      </c>
      <c r="P913" s="310">
        <f t="shared" ca="1" si="424"/>
        <v>23</v>
      </c>
      <c r="Q913" s="304">
        <f t="shared" ca="1" si="425"/>
        <v>0</v>
      </c>
      <c r="R913" s="306">
        <f t="shared" ca="1" si="426"/>
        <v>0</v>
      </c>
      <c r="S913" s="307">
        <f t="shared" ca="1" si="427"/>
        <v>2.9792999999999985</v>
      </c>
      <c r="T913" s="304">
        <f t="shared" ca="1" si="407"/>
        <v>29.226932999999988</v>
      </c>
      <c r="U913" s="311">
        <f t="shared" ca="1" si="408"/>
        <v>0</v>
      </c>
      <c r="V913" s="306">
        <f t="shared" ca="1" si="409"/>
        <v>1.2255886230791566</v>
      </c>
      <c r="W913" s="304">
        <f t="shared" ca="1" si="410"/>
        <v>27.464705192372673</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0.56700407351945437</v>
      </c>
      <c r="AH913" s="304">
        <f t="shared" ca="1" si="434"/>
        <v>-9.218489833416859</v>
      </c>
    </row>
    <row r="914" spans="1:34" x14ac:dyDescent="0.2">
      <c r="A914" s="347">
        <f t="shared" ca="1" si="412"/>
        <v>1E-4</v>
      </c>
      <c r="B914" s="304">
        <f t="shared" ca="1" si="413"/>
        <v>37.040600000001568</v>
      </c>
      <c r="D914" s="306">
        <f t="shared" ca="1" si="414"/>
        <v>-0.65118259127500011</v>
      </c>
      <c r="E914" s="307">
        <f t="shared" ca="1" si="415"/>
        <v>-0.61451862933630785</v>
      </c>
      <c r="F914" s="304">
        <f t="shared" ca="1" si="416"/>
        <v>0.89536133096141601</v>
      </c>
      <c r="G914" s="306">
        <f t="shared" ca="1" si="417"/>
        <v>7.3895318470743012</v>
      </c>
      <c r="H914" s="307">
        <f t="shared" ca="1" si="418"/>
        <v>-104.35005812236709</v>
      </c>
      <c r="I914" s="304">
        <f t="shared" ca="1" si="419"/>
        <v>104.61137515136829</v>
      </c>
      <c r="J914" s="306">
        <f t="shared" ca="1" si="420"/>
        <v>839.7136314269211</v>
      </c>
      <c r="K914" s="307">
        <f t="shared" ca="1" si="421"/>
        <v>-4.8143671977477522</v>
      </c>
      <c r="L914" s="304">
        <f t="shared" ca="1" si="406"/>
        <v>839.7274325254009</v>
      </c>
      <c r="M914" s="306">
        <f t="shared" ca="1" si="422"/>
        <v>-1.5000995124539076</v>
      </c>
      <c r="N914" s="304">
        <f t="shared" ca="1" si="423"/>
        <v>-85.949370913241381</v>
      </c>
      <c r="P914" s="310">
        <f t="shared" ca="1" si="424"/>
        <v>23</v>
      </c>
      <c r="Q914" s="304">
        <f t="shared" ca="1" si="425"/>
        <v>0</v>
      </c>
      <c r="R914" s="306">
        <f t="shared" ca="1" si="426"/>
        <v>0</v>
      </c>
      <c r="S914" s="307">
        <f t="shared" ca="1" si="427"/>
        <v>2.9792999999999985</v>
      </c>
      <c r="T914" s="304">
        <f t="shared" ca="1" si="407"/>
        <v>29.226932999999988</v>
      </c>
      <c r="U914" s="311">
        <f t="shared" ca="1" si="408"/>
        <v>0</v>
      </c>
      <c r="V914" s="306">
        <f t="shared" ca="1" si="409"/>
        <v>1.2255899019819618</v>
      </c>
      <c r="W914" s="304">
        <f t="shared" ca="1" si="410"/>
        <v>27.464763623165855</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0.56698492000723988</v>
      </c>
      <c r="AH914" s="304">
        <f t="shared" ca="1" si="434"/>
        <v>-9.2185094459680759</v>
      </c>
    </row>
    <row r="915" spans="1:34" x14ac:dyDescent="0.2">
      <c r="A915" s="347">
        <f t="shared" ca="1" si="412"/>
        <v>1E-4</v>
      </c>
      <c r="B915" s="304">
        <f t="shared" ca="1" si="413"/>
        <v>37.040700000001571</v>
      </c>
      <c r="D915" s="306">
        <f t="shared" ca="1" si="414"/>
        <v>-0.65117788539110855</v>
      </c>
      <c r="E915" s="307">
        <f t="shared" ca="1" si="415"/>
        <v>-0.6144986347185899</v>
      </c>
      <c r="F915" s="304">
        <f t="shared" ca="1" si="416"/>
        <v>0.89534418549150507</v>
      </c>
      <c r="G915" s="306">
        <f t="shared" ca="1" si="417"/>
        <v>7.3894667292857621</v>
      </c>
      <c r="H915" s="307">
        <f t="shared" ca="1" si="418"/>
        <v>-104.35011957223055</v>
      </c>
      <c r="I915" s="304">
        <f t="shared" ca="1" si="419"/>
        <v>104.61143184796792</v>
      </c>
      <c r="J915" s="306">
        <f t="shared" ca="1" si="420"/>
        <v>839.7136314269211</v>
      </c>
      <c r="K915" s="307">
        <f t="shared" ca="1" si="421"/>
        <v>-4.8248022066324818</v>
      </c>
      <c r="L915" s="304">
        <f t="shared" ca="1" si="406"/>
        <v>839.72749241674842</v>
      </c>
      <c r="M915" s="306">
        <f t="shared" ca="1" si="422"/>
        <v>-1.5001001748654252</v>
      </c>
      <c r="N915" s="304">
        <f t="shared" ca="1" si="423"/>
        <v>-85.949408866625646</v>
      </c>
      <c r="P915" s="310">
        <f t="shared" ca="1" si="424"/>
        <v>23</v>
      </c>
      <c r="Q915" s="304">
        <f t="shared" ca="1" si="425"/>
        <v>0</v>
      </c>
      <c r="R915" s="306">
        <f t="shared" ca="1" si="426"/>
        <v>0</v>
      </c>
      <c r="S915" s="307">
        <f t="shared" ca="1" si="427"/>
        <v>2.9792999999999985</v>
      </c>
      <c r="T915" s="304">
        <f t="shared" ca="1" si="407"/>
        <v>29.226932999999988</v>
      </c>
      <c r="U915" s="311">
        <f t="shared" ca="1" si="408"/>
        <v>0</v>
      </c>
      <c r="V915" s="306">
        <f t="shared" ca="1" si="409"/>
        <v>1.2255911808868551</v>
      </c>
      <c r="W915" s="304">
        <f t="shared" ca="1" si="410"/>
        <v>27.464822053078404</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0.5669657667817809</v>
      </c>
      <c r="AH915" s="304">
        <f t="shared" ca="1" si="434"/>
        <v>-9.2185290582236998</v>
      </c>
    </row>
    <row r="916" spans="1:34" x14ac:dyDescent="0.2">
      <c r="A916" s="347">
        <f t="shared" ca="1" si="412"/>
        <v>1E-4</v>
      </c>
      <c r="B916" s="304">
        <f t="shared" ca="1" si="413"/>
        <v>37.040800000001575</v>
      </c>
      <c r="D916" s="306">
        <f t="shared" ca="1" si="414"/>
        <v>-0.65117317952041232</v>
      </c>
      <c r="E916" s="307">
        <f t="shared" ca="1" si="415"/>
        <v>-0.61447864040218469</v>
      </c>
      <c r="F916" s="304">
        <f t="shared" ca="1" si="416"/>
        <v>0.89532704038091049</v>
      </c>
      <c r="G916" s="306">
        <f t="shared" ca="1" si="417"/>
        <v>7.3894016119678101</v>
      </c>
      <c r="H916" s="307">
        <f t="shared" ca="1" si="418"/>
        <v>-104.3501810200946</v>
      </c>
      <c r="I916" s="304">
        <f t="shared" ca="1" si="419"/>
        <v>104.61148854265225</v>
      </c>
      <c r="J916" s="306">
        <f t="shared" ca="1" si="420"/>
        <v>839.7136314269211</v>
      </c>
      <c r="K916" s="307">
        <f t="shared" ca="1" si="421"/>
        <v>-4.8352372216620978</v>
      </c>
      <c r="L916" s="304">
        <f t="shared" ca="1" si="406"/>
        <v>839.7275524377992</v>
      </c>
      <c r="M916" s="306">
        <f t="shared" ca="1" si="422"/>
        <v>-1.5001008372703875</v>
      </c>
      <c r="N916" s="304">
        <f t="shared" ca="1" si="423"/>
        <v>-85.949446819634304</v>
      </c>
      <c r="P916" s="310">
        <f t="shared" ca="1" si="424"/>
        <v>23</v>
      </c>
      <c r="Q916" s="304">
        <f t="shared" ca="1" si="425"/>
        <v>0</v>
      </c>
      <c r="R916" s="306">
        <f t="shared" ca="1" si="426"/>
        <v>0</v>
      </c>
      <c r="S916" s="307">
        <f t="shared" ca="1" si="427"/>
        <v>2.9792999999999985</v>
      </c>
      <c r="T916" s="304">
        <f t="shared" ca="1" si="407"/>
        <v>29.226932999999988</v>
      </c>
      <c r="U916" s="311">
        <f t="shared" ca="1" si="408"/>
        <v>0</v>
      </c>
      <c r="V916" s="306">
        <f t="shared" ca="1" si="409"/>
        <v>1.2255924597938361</v>
      </c>
      <c r="W916" s="304">
        <f t="shared" ca="1" si="410"/>
        <v>27.464880482110306</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0.56694661384306855</v>
      </c>
      <c r="AH916" s="304">
        <f t="shared" ca="1" si="434"/>
        <v>-9.2185486701837398</v>
      </c>
    </row>
    <row r="917" spans="1:34" x14ac:dyDescent="0.2">
      <c r="A917" s="347">
        <f t="shared" ca="1" si="412"/>
        <v>1E-4</v>
      </c>
      <c r="B917" s="304">
        <f t="shared" ca="1" si="413"/>
        <v>37.040900000001578</v>
      </c>
      <c r="D917" s="306">
        <f t="shared" ca="1" si="414"/>
        <v>-0.6511684736629143</v>
      </c>
      <c r="E917" s="307">
        <f t="shared" ca="1" si="415"/>
        <v>-0.6144586463870958</v>
      </c>
      <c r="F917" s="304">
        <f t="shared" ca="1" si="416"/>
        <v>0.89530989562963703</v>
      </c>
      <c r="G917" s="306">
        <f t="shared" ca="1" si="417"/>
        <v>7.3893364951204434</v>
      </c>
      <c r="H917" s="307">
        <f t="shared" ca="1" si="418"/>
        <v>-104.35024246595924</v>
      </c>
      <c r="I917" s="304">
        <f t="shared" ca="1" si="419"/>
        <v>104.61154523542133</v>
      </c>
      <c r="J917" s="306">
        <f t="shared" ca="1" si="420"/>
        <v>839.7136314269211</v>
      </c>
      <c r="K917" s="307">
        <f t="shared" ca="1" si="421"/>
        <v>-4.8456722428364003</v>
      </c>
      <c r="L917" s="304">
        <f t="shared" ca="1" si="406"/>
        <v>839.72761258855371</v>
      </c>
      <c r="M917" s="306">
        <f t="shared" ca="1" si="422"/>
        <v>-1.5001014996687945</v>
      </c>
      <c r="N917" s="304">
        <f t="shared" ca="1" si="423"/>
        <v>-85.949484772267382</v>
      </c>
      <c r="P917" s="310">
        <f t="shared" ca="1" si="424"/>
        <v>23</v>
      </c>
      <c r="Q917" s="304">
        <f t="shared" ca="1" si="425"/>
        <v>0</v>
      </c>
      <c r="R917" s="306">
        <f t="shared" ca="1" si="426"/>
        <v>0</v>
      </c>
      <c r="S917" s="307">
        <f t="shared" ca="1" si="427"/>
        <v>2.9792999999999985</v>
      </c>
      <c r="T917" s="304">
        <f t="shared" ca="1" si="407"/>
        <v>29.226932999999988</v>
      </c>
      <c r="U917" s="311">
        <f t="shared" ca="1" si="408"/>
        <v>0</v>
      </c>
      <c r="V917" s="306">
        <f t="shared" ca="1" si="409"/>
        <v>1.2255937387029052</v>
      </c>
      <c r="W917" s="304">
        <f t="shared" ca="1" si="410"/>
        <v>27.464938910261591</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0.56692746119110815</v>
      </c>
      <c r="AH917" s="304">
        <f t="shared" ca="1" si="434"/>
        <v>-9.2185682818481922</v>
      </c>
    </row>
    <row r="918" spans="1:34" x14ac:dyDescent="0.2">
      <c r="A918" s="347">
        <f t="shared" ca="1" si="412"/>
        <v>1E-4</v>
      </c>
      <c r="B918" s="304">
        <f t="shared" ca="1" si="413"/>
        <v>37.041000000001581</v>
      </c>
      <c r="D918" s="306">
        <f t="shared" ca="1" si="414"/>
        <v>-0.65116376781861385</v>
      </c>
      <c r="E918" s="307">
        <f t="shared" ca="1" si="415"/>
        <v>-0.61443865267331788</v>
      </c>
      <c r="F918" s="304">
        <f t="shared" ca="1" si="416"/>
        <v>0.89529275123768082</v>
      </c>
      <c r="G918" s="306">
        <f t="shared" ca="1" si="417"/>
        <v>7.3892713787436612</v>
      </c>
      <c r="H918" s="307">
        <f t="shared" ca="1" si="418"/>
        <v>-104.3503039098245</v>
      </c>
      <c r="I918" s="304">
        <f t="shared" ca="1" si="419"/>
        <v>104.61160192627516</v>
      </c>
      <c r="J918" s="306">
        <f t="shared" ca="1" si="420"/>
        <v>839.7136314269211</v>
      </c>
      <c r="K918" s="307">
        <f t="shared" ca="1" si="421"/>
        <v>-4.8561072701551895</v>
      </c>
      <c r="L918" s="304">
        <f t="shared" ca="1" si="406"/>
        <v>839.72767286901194</v>
      </c>
      <c r="M918" s="306">
        <f t="shared" ca="1" si="422"/>
        <v>-1.5001021620606463</v>
      </c>
      <c r="N918" s="304">
        <f t="shared" ca="1" si="423"/>
        <v>-85.949522724524883</v>
      </c>
      <c r="P918" s="310">
        <f t="shared" ca="1" si="424"/>
        <v>23</v>
      </c>
      <c r="Q918" s="304">
        <f t="shared" ca="1" si="425"/>
        <v>0</v>
      </c>
      <c r="R918" s="306">
        <f t="shared" ca="1" si="426"/>
        <v>0</v>
      </c>
      <c r="S918" s="307">
        <f t="shared" ca="1" si="427"/>
        <v>2.9792999999999985</v>
      </c>
      <c r="T918" s="304">
        <f t="shared" ca="1" si="407"/>
        <v>29.226932999999988</v>
      </c>
      <c r="U918" s="311">
        <f t="shared" ca="1" si="408"/>
        <v>0</v>
      </c>
      <c r="V918" s="306">
        <f t="shared" ca="1" si="409"/>
        <v>1.2255950176140624</v>
      </c>
      <c r="W918" s="304">
        <f t="shared" ca="1" si="410"/>
        <v>27.464997337532264</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0.56690830882588905</v>
      </c>
      <c r="AH918" s="304">
        <f t="shared" ca="1" si="434"/>
        <v>-9.218587893217066</v>
      </c>
    </row>
    <row r="919" spans="1:34" x14ac:dyDescent="0.2">
      <c r="A919" s="347">
        <f t="shared" ca="1" si="412"/>
        <v>1E-4</v>
      </c>
      <c r="B919" s="304">
        <f t="shared" ca="1" si="413"/>
        <v>37.041100000001585</v>
      </c>
      <c r="D919" s="306">
        <f t="shared" ca="1" si="414"/>
        <v>-0.65115906198751228</v>
      </c>
      <c r="E919" s="307">
        <f t="shared" ca="1" si="415"/>
        <v>-0.6144186592608456</v>
      </c>
      <c r="F919" s="304">
        <f t="shared" ca="1" si="416"/>
        <v>0.8952756072050394</v>
      </c>
      <c r="G919" s="306">
        <f t="shared" ca="1" si="417"/>
        <v>7.3892062628374626</v>
      </c>
      <c r="H919" s="307">
        <f t="shared" ca="1" si="418"/>
        <v>-104.35036535169043</v>
      </c>
      <c r="I919" s="304">
        <f t="shared" ca="1" si="419"/>
        <v>104.61165861521378</v>
      </c>
      <c r="J919" s="306">
        <f t="shared" ca="1" si="420"/>
        <v>839.7136314269211</v>
      </c>
      <c r="K919" s="307">
        <f t="shared" ca="1" si="421"/>
        <v>-4.8665423036182656</v>
      </c>
      <c r="L919" s="304">
        <f t="shared" ca="1" si="406"/>
        <v>839.72773327917423</v>
      </c>
      <c r="M919" s="306">
        <f t="shared" ca="1" si="422"/>
        <v>-1.5001028244459431</v>
      </c>
      <c r="N919" s="304">
        <f t="shared" ca="1" si="423"/>
        <v>-85.94956067640679</v>
      </c>
      <c r="P919" s="310">
        <f t="shared" ca="1" si="424"/>
        <v>23</v>
      </c>
      <c r="Q919" s="304">
        <f t="shared" ca="1" si="425"/>
        <v>0</v>
      </c>
      <c r="R919" s="306">
        <f t="shared" ca="1" si="426"/>
        <v>0</v>
      </c>
      <c r="S919" s="307">
        <f t="shared" ca="1" si="427"/>
        <v>2.9792999999999985</v>
      </c>
      <c r="T919" s="304">
        <f t="shared" ca="1" si="407"/>
        <v>29.226932999999988</v>
      </c>
      <c r="U919" s="311">
        <f t="shared" ca="1" si="408"/>
        <v>0</v>
      </c>
      <c r="V919" s="306">
        <f t="shared" ca="1" si="409"/>
        <v>1.2255962965273071</v>
      </c>
      <c r="W919" s="304">
        <f t="shared" ca="1" si="410"/>
        <v>27.465055763922326</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0.56688915674741303</v>
      </c>
      <c r="AH919" s="304">
        <f t="shared" ca="1" si="434"/>
        <v>-9.2186075042903628</v>
      </c>
    </row>
    <row r="920" spans="1:34" x14ac:dyDescent="0.2">
      <c r="A920" s="347">
        <f t="shared" ca="1" si="412"/>
        <v>1E-4</v>
      </c>
      <c r="B920" s="304">
        <f t="shared" ca="1" si="413"/>
        <v>37.041200000001588</v>
      </c>
      <c r="D920" s="306">
        <f t="shared" ca="1" si="414"/>
        <v>-0.65115435616960859</v>
      </c>
      <c r="E920" s="307">
        <f t="shared" ca="1" si="415"/>
        <v>-0.61439866614967897</v>
      </c>
      <c r="F920" s="304">
        <f t="shared" ca="1" si="416"/>
        <v>0.89525846353171223</v>
      </c>
      <c r="G920" s="306">
        <f t="shared" ca="1" si="417"/>
        <v>7.3891411474018458</v>
      </c>
      <c r="H920" s="307">
        <f t="shared" ca="1" si="418"/>
        <v>-104.35042679155704</v>
      </c>
      <c r="I920" s="304">
        <f t="shared" ca="1" si="419"/>
        <v>104.61171530223722</v>
      </c>
      <c r="J920" s="306">
        <f t="shared" ca="1" si="420"/>
        <v>839.7136314269211</v>
      </c>
      <c r="K920" s="307">
        <f t="shared" ca="1" si="421"/>
        <v>-4.8769773432254278</v>
      </c>
      <c r="L920" s="304">
        <f t="shared" ca="1" si="406"/>
        <v>839.72779381904081</v>
      </c>
      <c r="M920" s="306">
        <f t="shared" ca="1" si="422"/>
        <v>-1.5001034868246852</v>
      </c>
      <c r="N920" s="304">
        <f t="shared" ca="1" si="423"/>
        <v>-85.949598627913161</v>
      </c>
      <c r="P920" s="310">
        <f t="shared" ca="1" si="424"/>
        <v>23</v>
      </c>
      <c r="Q920" s="304">
        <f t="shared" ca="1" si="425"/>
        <v>0</v>
      </c>
      <c r="R920" s="306">
        <f t="shared" ca="1" si="426"/>
        <v>0</v>
      </c>
      <c r="S920" s="307">
        <f t="shared" ca="1" si="427"/>
        <v>2.9792999999999985</v>
      </c>
      <c r="T920" s="304">
        <f t="shared" ca="1" si="407"/>
        <v>29.226932999999988</v>
      </c>
      <c r="U920" s="311">
        <f t="shared" ca="1" si="408"/>
        <v>0</v>
      </c>
      <c r="V920" s="306">
        <f t="shared" ca="1" si="409"/>
        <v>1.2255975754426398</v>
      </c>
      <c r="W920" s="304">
        <f t="shared" ca="1" si="410"/>
        <v>27.465114189431787</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0.56687000495567652</v>
      </c>
      <c r="AH920" s="304">
        <f t="shared" ca="1" si="434"/>
        <v>-9.2186271150680827</v>
      </c>
    </row>
    <row r="921" spans="1:34" x14ac:dyDescent="0.2">
      <c r="A921" s="347">
        <f t="shared" ca="1" si="412"/>
        <v>1E-4</v>
      </c>
      <c r="B921" s="304">
        <f t="shared" ca="1" si="413"/>
        <v>37.041300000001591</v>
      </c>
      <c r="D921" s="306">
        <f t="shared" ca="1" si="414"/>
        <v>-0.6511496503649018</v>
      </c>
      <c r="E921" s="307">
        <f t="shared" ca="1" si="415"/>
        <v>-0.61437867333981444</v>
      </c>
      <c r="F921" s="304">
        <f t="shared" ca="1" si="416"/>
        <v>0.89524132021769653</v>
      </c>
      <c r="G921" s="306">
        <f t="shared" ca="1" si="417"/>
        <v>7.389076032436809</v>
      </c>
      <c r="H921" s="307">
        <f t="shared" ca="1" si="418"/>
        <v>-104.35048822942437</v>
      </c>
      <c r="I921" s="304">
        <f t="shared" ca="1" si="419"/>
        <v>104.61177198734551</v>
      </c>
      <c r="J921" s="306">
        <f t="shared" ca="1" si="420"/>
        <v>839.7136314269211</v>
      </c>
      <c r="K921" s="307">
        <f t="shared" ca="1" si="421"/>
        <v>-4.8874123889764771</v>
      </c>
      <c r="L921" s="304">
        <f t="shared" ca="1" si="406"/>
        <v>839.72785448861168</v>
      </c>
      <c r="M921" s="306">
        <f t="shared" ca="1" si="422"/>
        <v>-1.5001041491968721</v>
      </c>
      <c r="N921" s="304">
        <f t="shared" ca="1" si="423"/>
        <v>-85.949636579043926</v>
      </c>
      <c r="P921" s="310">
        <f t="shared" ca="1" si="424"/>
        <v>23</v>
      </c>
      <c r="Q921" s="304">
        <f t="shared" ca="1" si="425"/>
        <v>0</v>
      </c>
      <c r="R921" s="306">
        <f t="shared" ca="1" si="426"/>
        <v>0</v>
      </c>
      <c r="S921" s="307">
        <f t="shared" ca="1" si="427"/>
        <v>2.9792999999999985</v>
      </c>
      <c r="T921" s="304">
        <f t="shared" ca="1" si="407"/>
        <v>29.226932999999988</v>
      </c>
      <c r="U921" s="311">
        <f t="shared" ca="1" si="408"/>
        <v>0</v>
      </c>
      <c r="V921" s="306">
        <f t="shared" ca="1" si="409"/>
        <v>1.2255988543600607</v>
      </c>
      <c r="W921" s="304">
        <f t="shared" ca="1" si="410"/>
        <v>27.46517261406068</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0.56685085345067776</v>
      </c>
      <c r="AH921" s="304">
        <f t="shared" ca="1" si="434"/>
        <v>-9.2186467255502311</v>
      </c>
    </row>
    <row r="922" spans="1:34" x14ac:dyDescent="0.2">
      <c r="A922" s="347">
        <f t="shared" ca="1" si="412"/>
        <v>1E-4</v>
      </c>
      <c r="B922" s="304">
        <f t="shared" ca="1" si="413"/>
        <v>37.041400000001595</v>
      </c>
      <c r="D922" s="306">
        <f t="shared" ca="1" si="414"/>
        <v>-0.65114494457339789</v>
      </c>
      <c r="E922" s="307">
        <f t="shared" ca="1" si="415"/>
        <v>-0.61435868083124312</v>
      </c>
      <c r="F922" s="304">
        <f t="shared" ca="1" si="416"/>
        <v>0.89522417726299064</v>
      </c>
      <c r="G922" s="306">
        <f t="shared" ca="1" si="417"/>
        <v>7.3890109179423513</v>
      </c>
      <c r="H922" s="307">
        <f t="shared" ca="1" si="418"/>
        <v>-104.35054966529245</v>
      </c>
      <c r="I922" s="304">
        <f t="shared" ca="1" si="419"/>
        <v>104.61182867053867</v>
      </c>
      <c r="J922" s="306">
        <f t="shared" ca="1" si="420"/>
        <v>839.7136314269211</v>
      </c>
      <c r="K922" s="307">
        <f t="shared" ca="1" si="421"/>
        <v>-4.8978474408712129</v>
      </c>
      <c r="L922" s="304">
        <f t="shared" ca="1" si="406"/>
        <v>839.7279152878873</v>
      </c>
      <c r="M922" s="306">
        <f t="shared" ca="1" si="422"/>
        <v>-1.5001048115625044</v>
      </c>
      <c r="N922" s="304">
        <f t="shared" ca="1" si="423"/>
        <v>-85.949674529799154</v>
      </c>
      <c r="P922" s="310">
        <f t="shared" ca="1" si="424"/>
        <v>23</v>
      </c>
      <c r="Q922" s="304">
        <f t="shared" ca="1" si="425"/>
        <v>0</v>
      </c>
      <c r="R922" s="306">
        <f t="shared" ca="1" si="426"/>
        <v>0</v>
      </c>
      <c r="S922" s="307">
        <f t="shared" ca="1" si="427"/>
        <v>2.9792999999999985</v>
      </c>
      <c r="T922" s="304">
        <f t="shared" ca="1" si="407"/>
        <v>29.226932999999988</v>
      </c>
      <c r="U922" s="311">
        <f t="shared" ca="1" si="408"/>
        <v>0</v>
      </c>
      <c r="V922" s="306">
        <f t="shared" ca="1" si="409"/>
        <v>1.2256001332795694</v>
      </c>
      <c r="W922" s="304">
        <f t="shared" ca="1" si="410"/>
        <v>27.465231037809001</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0.56683170223240786</v>
      </c>
      <c r="AH922" s="304">
        <f t="shared" ca="1" si="434"/>
        <v>-9.218666335736815</v>
      </c>
    </row>
    <row r="923" spans="1:34" x14ac:dyDescent="0.2">
      <c r="A923" s="347">
        <f t="shared" ca="1" si="412"/>
        <v>1E-4</v>
      </c>
      <c r="B923" s="304">
        <f t="shared" ca="1" si="413"/>
        <v>37.041500000001598</v>
      </c>
      <c r="D923" s="306">
        <f t="shared" ca="1" si="414"/>
        <v>-0.65114023879509142</v>
      </c>
      <c r="E923" s="307">
        <f t="shared" ca="1" si="415"/>
        <v>-0.61433868862396324</v>
      </c>
      <c r="F923" s="304">
        <f t="shared" ca="1" si="416"/>
        <v>0.89520703466758988</v>
      </c>
      <c r="G923" s="306">
        <f t="shared" ca="1" si="417"/>
        <v>7.3889458039184719</v>
      </c>
      <c r="H923" s="307">
        <f t="shared" ca="1" si="418"/>
        <v>-104.35061109916131</v>
      </c>
      <c r="I923" s="304">
        <f t="shared" ca="1" si="419"/>
        <v>104.61188535181675</v>
      </c>
      <c r="J923" s="306">
        <f t="shared" ca="1" si="420"/>
        <v>839.7136314269211</v>
      </c>
      <c r="K923" s="307">
        <f t="shared" ca="1" si="421"/>
        <v>-4.9082824989094354</v>
      </c>
      <c r="L923" s="304">
        <f t="shared" ca="1" si="406"/>
        <v>839.72797621686766</v>
      </c>
      <c r="M923" s="306">
        <f t="shared" ca="1" si="422"/>
        <v>-1.5001054739215818</v>
      </c>
      <c r="N923" s="304">
        <f t="shared" ca="1" si="423"/>
        <v>-85.949712480178817</v>
      </c>
      <c r="P923" s="310">
        <f t="shared" ca="1" si="424"/>
        <v>23</v>
      </c>
      <c r="Q923" s="304">
        <f t="shared" ca="1" si="425"/>
        <v>0</v>
      </c>
      <c r="R923" s="306">
        <f t="shared" ca="1" si="426"/>
        <v>0</v>
      </c>
      <c r="S923" s="307">
        <f t="shared" ca="1" si="427"/>
        <v>2.9792999999999985</v>
      </c>
      <c r="T923" s="304">
        <f t="shared" ca="1" si="407"/>
        <v>29.226932999999988</v>
      </c>
      <c r="U923" s="311">
        <f t="shared" ca="1" si="408"/>
        <v>0</v>
      </c>
      <c r="V923" s="306">
        <f t="shared" ca="1" si="409"/>
        <v>1.2256014122011656</v>
      </c>
      <c r="W923" s="304">
        <f t="shared" ca="1" si="410"/>
        <v>27.465289460676757</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0.56681255130086505</v>
      </c>
      <c r="AH923" s="304">
        <f t="shared" ca="1" si="434"/>
        <v>-9.2186859456278363</v>
      </c>
    </row>
    <row r="924" spans="1:34" x14ac:dyDescent="0.2">
      <c r="A924" s="347">
        <f t="shared" ca="1" si="412"/>
        <v>1E-4</v>
      </c>
      <c r="B924" s="304">
        <f t="shared" ca="1" si="413"/>
        <v>37.041600000001601</v>
      </c>
      <c r="D924" s="306">
        <f t="shared" ca="1" si="414"/>
        <v>-0.65113553302998795</v>
      </c>
      <c r="E924" s="307">
        <f t="shared" ca="1" si="415"/>
        <v>-0.61431869671797301</v>
      </c>
      <c r="F924" s="304">
        <f t="shared" ca="1" si="416"/>
        <v>0.89518989243149716</v>
      </c>
      <c r="G924" s="306">
        <f t="shared" ca="1" si="417"/>
        <v>7.3888806903651689</v>
      </c>
      <c r="H924" s="307">
        <f t="shared" ca="1" si="418"/>
        <v>-104.35067253103098</v>
      </c>
      <c r="I924" s="304">
        <f t="shared" ca="1" si="419"/>
        <v>104.61194203117977</v>
      </c>
      <c r="J924" s="306">
        <f t="shared" ca="1" si="420"/>
        <v>839.7136314269211</v>
      </c>
      <c r="K924" s="307">
        <f t="shared" ca="1" si="421"/>
        <v>-4.9187175630909445</v>
      </c>
      <c r="L924" s="304">
        <f t="shared" ca="1" si="406"/>
        <v>839.72803727555299</v>
      </c>
      <c r="M924" s="306">
        <f t="shared" ca="1" si="422"/>
        <v>-1.5001061362741048</v>
      </c>
      <c r="N924" s="304">
        <f t="shared" ca="1" si="423"/>
        <v>-85.949750430182931</v>
      </c>
      <c r="P924" s="310">
        <f t="shared" ca="1" si="424"/>
        <v>23</v>
      </c>
      <c r="Q924" s="304">
        <f t="shared" ca="1" si="425"/>
        <v>0</v>
      </c>
      <c r="R924" s="306">
        <f t="shared" ca="1" si="426"/>
        <v>0</v>
      </c>
      <c r="S924" s="307">
        <f t="shared" ca="1" si="427"/>
        <v>2.9792999999999985</v>
      </c>
      <c r="T924" s="304">
        <f t="shared" ca="1" si="407"/>
        <v>29.226932999999988</v>
      </c>
      <c r="U924" s="311">
        <f t="shared" ca="1" si="408"/>
        <v>0</v>
      </c>
      <c r="V924" s="306">
        <f t="shared" ca="1" si="409"/>
        <v>1.2256026911248497</v>
      </c>
      <c r="W924" s="304">
        <f t="shared" ca="1" si="410"/>
        <v>27.465347882663949</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0.56679340065604578</v>
      </c>
      <c r="AH924" s="304">
        <f t="shared" ca="1" si="434"/>
        <v>-9.2187055552232984</v>
      </c>
    </row>
    <row r="925" spans="1:34" x14ac:dyDescent="0.2">
      <c r="A925" s="347">
        <f t="shared" ca="1" si="412"/>
        <v>1E-4</v>
      </c>
      <c r="B925" s="304">
        <f t="shared" ca="1" si="413"/>
        <v>37.041700000001605</v>
      </c>
      <c r="D925" s="306">
        <f t="shared" ca="1" si="414"/>
        <v>-0.65113082727808191</v>
      </c>
      <c r="E925" s="307">
        <f t="shared" ca="1" si="415"/>
        <v>-0.61429870511327422</v>
      </c>
      <c r="F925" s="304">
        <f t="shared" ca="1" si="416"/>
        <v>0.89517275055470991</v>
      </c>
      <c r="G925" s="306">
        <f t="shared" ca="1" si="417"/>
        <v>7.3888155772824415</v>
      </c>
      <c r="H925" s="307">
        <f t="shared" ca="1" si="418"/>
        <v>-104.35073396090149</v>
      </c>
      <c r="I925" s="304">
        <f t="shared" ca="1" si="419"/>
        <v>104.61199870862774</v>
      </c>
      <c r="J925" s="306">
        <f t="shared" ca="1" si="420"/>
        <v>839.7136314269211</v>
      </c>
      <c r="K925" s="307">
        <f t="shared" ca="1" si="421"/>
        <v>-4.9291526334155416</v>
      </c>
      <c r="L925" s="304">
        <f t="shared" ca="1" si="406"/>
        <v>839.72809846394364</v>
      </c>
      <c r="M925" s="306">
        <f t="shared" ca="1" si="422"/>
        <v>-1.5001067986200731</v>
      </c>
      <c r="N925" s="304">
        <f t="shared" ca="1" si="423"/>
        <v>-85.949788379811494</v>
      </c>
      <c r="P925" s="310">
        <f t="shared" ca="1" si="424"/>
        <v>23</v>
      </c>
      <c r="Q925" s="304">
        <f t="shared" ca="1" si="425"/>
        <v>0</v>
      </c>
      <c r="R925" s="306">
        <f t="shared" ca="1" si="426"/>
        <v>0</v>
      </c>
      <c r="S925" s="307">
        <f t="shared" ca="1" si="427"/>
        <v>2.9792999999999985</v>
      </c>
      <c r="T925" s="304">
        <f t="shared" ca="1" si="407"/>
        <v>29.226932999999988</v>
      </c>
      <c r="U925" s="311">
        <f t="shared" ca="1" si="408"/>
        <v>0</v>
      </c>
      <c r="V925" s="306">
        <f t="shared" ca="1" si="409"/>
        <v>1.2256039700506218</v>
      </c>
      <c r="W925" s="304">
        <f t="shared" ca="1" si="410"/>
        <v>27.465406303770607</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0.56677425029795536</v>
      </c>
      <c r="AH925" s="304">
        <f t="shared" ca="1" si="434"/>
        <v>-9.2187251645231978</v>
      </c>
    </row>
    <row r="926" spans="1:34" x14ac:dyDescent="0.2">
      <c r="A926" s="347">
        <f t="shared" ca="1" si="412"/>
        <v>1E-4</v>
      </c>
      <c r="B926" s="304">
        <f t="shared" ca="1" si="413"/>
        <v>37.041800000001608</v>
      </c>
      <c r="D926" s="306">
        <f t="shared" ca="1" si="414"/>
        <v>-0.65112612153937954</v>
      </c>
      <c r="E926" s="307">
        <f t="shared" ca="1" si="415"/>
        <v>-0.61427871380985444</v>
      </c>
      <c r="F926" s="304">
        <f t="shared" ca="1" si="416"/>
        <v>0.89515560903722435</v>
      </c>
      <c r="G926" s="306">
        <f t="shared" ca="1" si="417"/>
        <v>7.388750464670288</v>
      </c>
      <c r="H926" s="307">
        <f t="shared" ca="1" si="418"/>
        <v>-104.35079538877288</v>
      </c>
      <c r="I926" s="304">
        <f t="shared" ca="1" si="419"/>
        <v>104.61205538416073</v>
      </c>
      <c r="J926" s="306">
        <f t="shared" ca="1" si="420"/>
        <v>839.7136314269211</v>
      </c>
      <c r="K926" s="307">
        <f t="shared" ca="1" si="421"/>
        <v>-4.9395877098830256</v>
      </c>
      <c r="L926" s="304">
        <f t="shared" ca="1" si="406"/>
        <v>839.72815978203971</v>
      </c>
      <c r="M926" s="306">
        <f t="shared" ca="1" si="422"/>
        <v>-1.5001074609594869</v>
      </c>
      <c r="N926" s="304">
        <f t="shared" ca="1" si="423"/>
        <v>-85.949826329064507</v>
      </c>
      <c r="P926" s="310">
        <f t="shared" ca="1" si="424"/>
        <v>23</v>
      </c>
      <c r="Q926" s="304">
        <f t="shared" ca="1" si="425"/>
        <v>0</v>
      </c>
      <c r="R926" s="306">
        <f t="shared" ca="1" si="426"/>
        <v>0</v>
      </c>
      <c r="S926" s="307">
        <f t="shared" ca="1" si="427"/>
        <v>2.9792999999999985</v>
      </c>
      <c r="T926" s="304">
        <f t="shared" ca="1" si="407"/>
        <v>29.226932999999988</v>
      </c>
      <c r="U926" s="311">
        <f t="shared" ca="1" si="408"/>
        <v>0</v>
      </c>
      <c r="V926" s="306">
        <f t="shared" ca="1" si="409"/>
        <v>1.2256052489784817</v>
      </c>
      <c r="W926" s="304">
        <f t="shared" ca="1" si="410"/>
        <v>27.465464723996742</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0.56675510022658138</v>
      </c>
      <c r="AH926" s="304">
        <f t="shared" ca="1" si="434"/>
        <v>-9.218744773527547</v>
      </c>
    </row>
    <row r="927" spans="1:34" x14ac:dyDescent="0.2">
      <c r="A927" s="347">
        <f t="shared" ca="1" si="412"/>
        <v>1E-4</v>
      </c>
      <c r="B927" s="304">
        <f t="shared" ca="1" si="413"/>
        <v>37.041900000001611</v>
      </c>
      <c r="D927" s="306">
        <f t="shared" ca="1" si="414"/>
        <v>-0.65112141581387983</v>
      </c>
      <c r="E927" s="307">
        <f t="shared" ca="1" si="415"/>
        <v>-0.61425872280771188</v>
      </c>
      <c r="F927" s="304">
        <f t="shared" ca="1" si="416"/>
        <v>0.89513846787903872</v>
      </c>
      <c r="G927" s="306">
        <f t="shared" ca="1" si="417"/>
        <v>7.3886853525287064</v>
      </c>
      <c r="H927" s="307">
        <f t="shared" ca="1" si="418"/>
        <v>-104.35085681464516</v>
      </c>
      <c r="I927" s="304">
        <f t="shared" ca="1" si="419"/>
        <v>104.6121120577787</v>
      </c>
      <c r="J927" s="306">
        <f t="shared" ca="1" si="420"/>
        <v>839.7136314269211</v>
      </c>
      <c r="K927" s="307">
        <f t="shared" ca="1" si="421"/>
        <v>-4.950022792493197</v>
      </c>
      <c r="L927" s="304">
        <f t="shared" ca="1" si="406"/>
        <v>839.72822122984132</v>
      </c>
      <c r="M927" s="306">
        <f t="shared" ca="1" si="422"/>
        <v>-1.5001081232923463</v>
      </c>
      <c r="N927" s="304">
        <f t="shared" ca="1" si="423"/>
        <v>-85.949864277941984</v>
      </c>
      <c r="P927" s="310">
        <f t="shared" ca="1" si="424"/>
        <v>23</v>
      </c>
      <c r="Q927" s="304">
        <f t="shared" ca="1" si="425"/>
        <v>0</v>
      </c>
      <c r="R927" s="306">
        <f t="shared" ca="1" si="426"/>
        <v>0</v>
      </c>
      <c r="S927" s="307">
        <f t="shared" ca="1" si="427"/>
        <v>2.9792999999999985</v>
      </c>
      <c r="T927" s="304">
        <f t="shared" ca="1" si="407"/>
        <v>29.226932999999988</v>
      </c>
      <c r="U927" s="311">
        <f t="shared" ca="1" si="408"/>
        <v>0</v>
      </c>
      <c r="V927" s="306">
        <f t="shared" ca="1" si="409"/>
        <v>1.2256065279084292</v>
      </c>
      <c r="W927" s="304">
        <f t="shared" ca="1" si="410"/>
        <v>27.465523143342338</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0.56673595044191849</v>
      </c>
      <c r="AH927" s="304">
        <f t="shared" ca="1" si="434"/>
        <v>-9.2187643822363494</v>
      </c>
    </row>
    <row r="928" spans="1:34" x14ac:dyDescent="0.2">
      <c r="A928" s="347">
        <f t="shared" ca="1" si="412"/>
        <v>1E-4</v>
      </c>
      <c r="B928" s="304">
        <f t="shared" ca="1" si="413"/>
        <v>37.042000000001615</v>
      </c>
      <c r="D928" s="306">
        <f t="shared" ca="1" si="414"/>
        <v>-0.65111671010158112</v>
      </c>
      <c r="E928" s="307">
        <f t="shared" ca="1" si="415"/>
        <v>-0.61423873210685009</v>
      </c>
      <c r="F928" s="304">
        <f t="shared" ca="1" si="416"/>
        <v>0.89512132708015468</v>
      </c>
      <c r="G928" s="306">
        <f t="shared" ca="1" si="417"/>
        <v>7.388620240857696</v>
      </c>
      <c r="H928" s="307">
        <f t="shared" ca="1" si="418"/>
        <v>-104.35091823851836</v>
      </c>
      <c r="I928" s="304">
        <f t="shared" ca="1" si="419"/>
        <v>104.61216872948174</v>
      </c>
      <c r="J928" s="306">
        <f t="shared" ca="1" si="420"/>
        <v>839.7136314269211</v>
      </c>
      <c r="K928" s="307">
        <f t="shared" ca="1" si="421"/>
        <v>-4.9604578812458548</v>
      </c>
      <c r="L928" s="304">
        <f t="shared" ca="1" si="406"/>
        <v>839.72828280734871</v>
      </c>
      <c r="M928" s="306">
        <f t="shared" ca="1" si="422"/>
        <v>-1.5001087856186515</v>
      </c>
      <c r="N928" s="304">
        <f t="shared" ca="1" si="423"/>
        <v>-85.949902226443939</v>
      </c>
      <c r="P928" s="310">
        <f t="shared" ca="1" si="424"/>
        <v>23</v>
      </c>
      <c r="Q928" s="304">
        <f t="shared" ca="1" si="425"/>
        <v>0</v>
      </c>
      <c r="R928" s="306">
        <f t="shared" ca="1" si="426"/>
        <v>0</v>
      </c>
      <c r="S928" s="307">
        <f t="shared" ca="1" si="427"/>
        <v>2.9792999999999985</v>
      </c>
      <c r="T928" s="304">
        <f t="shared" ca="1" si="407"/>
        <v>29.226932999999988</v>
      </c>
      <c r="U928" s="311">
        <f t="shared" ca="1" si="408"/>
        <v>0</v>
      </c>
      <c r="V928" s="306">
        <f t="shared" ca="1" si="409"/>
        <v>1.2256078068404646</v>
      </c>
      <c r="W928" s="304">
        <f t="shared" ca="1" si="410"/>
        <v>27.465581561807426</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0.56671680094397381</v>
      </c>
      <c r="AH928" s="304">
        <f t="shared" ca="1" si="434"/>
        <v>-9.2187839906495999</v>
      </c>
    </row>
    <row r="929" spans="1:34" x14ac:dyDescent="0.2">
      <c r="A929" s="347">
        <f t="shared" ca="1" si="412"/>
        <v>1E-4</v>
      </c>
      <c r="B929" s="304">
        <f t="shared" ca="1" si="413"/>
        <v>37.042100000001618</v>
      </c>
      <c r="D929" s="306">
        <f t="shared" ca="1" si="414"/>
        <v>-0.65111200440248551</v>
      </c>
      <c r="E929" s="307">
        <f t="shared" ca="1" si="415"/>
        <v>-0.61421874170725843</v>
      </c>
      <c r="F929" s="304">
        <f t="shared" ca="1" si="416"/>
        <v>0.89510418664056646</v>
      </c>
      <c r="G929" s="306">
        <f t="shared" ca="1" si="417"/>
        <v>7.3885551296572558</v>
      </c>
      <c r="H929" s="307">
        <f t="shared" ca="1" si="418"/>
        <v>-104.35097966039253</v>
      </c>
      <c r="I929" s="304">
        <f t="shared" ca="1" si="419"/>
        <v>104.61222539926985</v>
      </c>
      <c r="J929" s="306">
        <f t="shared" ca="1" si="420"/>
        <v>839.7136314269211</v>
      </c>
      <c r="K929" s="307">
        <f t="shared" ca="1" si="421"/>
        <v>-4.9708929761408003</v>
      </c>
      <c r="L929" s="304">
        <f t="shared" ca="1" si="406"/>
        <v>839.7283445145622</v>
      </c>
      <c r="M929" s="306">
        <f t="shared" ca="1" si="422"/>
        <v>-1.5001094479384023</v>
      </c>
      <c r="N929" s="304">
        <f t="shared" ca="1" si="423"/>
        <v>-85.949940174570344</v>
      </c>
      <c r="P929" s="310">
        <f t="shared" ca="1" si="424"/>
        <v>23</v>
      </c>
      <c r="Q929" s="304">
        <f t="shared" ca="1" si="425"/>
        <v>0</v>
      </c>
      <c r="R929" s="306">
        <f t="shared" ca="1" si="426"/>
        <v>0</v>
      </c>
      <c r="S929" s="307">
        <f t="shared" ca="1" si="427"/>
        <v>2.9792999999999985</v>
      </c>
      <c r="T929" s="304">
        <f t="shared" ca="1" si="407"/>
        <v>29.226932999999988</v>
      </c>
      <c r="U929" s="311">
        <f t="shared" ca="1" si="408"/>
        <v>0</v>
      </c>
      <c r="V929" s="306">
        <f t="shared" ca="1" si="409"/>
        <v>1.2256090857745872</v>
      </c>
      <c r="W929" s="304">
        <f t="shared" ca="1" si="410"/>
        <v>27.465639979392002</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0.56669765173273845</v>
      </c>
      <c r="AH929" s="304">
        <f t="shared" ca="1" si="434"/>
        <v>-9.2188035987673072</v>
      </c>
    </row>
    <row r="930" spans="1:34" x14ac:dyDescent="0.2">
      <c r="A930" s="347">
        <f t="shared" ca="1" si="412"/>
        <v>1E-4</v>
      </c>
      <c r="B930" s="304">
        <f t="shared" ca="1" si="413"/>
        <v>37.042200000001621</v>
      </c>
      <c r="D930" s="306">
        <f t="shared" ca="1" si="414"/>
        <v>-0.65110729871659379</v>
      </c>
      <c r="E930" s="307">
        <f t="shared" ca="1" si="415"/>
        <v>-0.61419875160893866</v>
      </c>
      <c r="F930" s="304">
        <f t="shared" ca="1" si="416"/>
        <v>0.89508704656027638</v>
      </c>
      <c r="G930" s="306">
        <f t="shared" ca="1" si="417"/>
        <v>7.3884900189273841</v>
      </c>
      <c r="H930" s="307">
        <f t="shared" ca="1" si="418"/>
        <v>-104.35104108026769</v>
      </c>
      <c r="I930" s="304">
        <f t="shared" ca="1" si="419"/>
        <v>104.61228206714308</v>
      </c>
      <c r="J930" s="306">
        <f t="shared" ca="1" si="420"/>
        <v>839.7136314269211</v>
      </c>
      <c r="K930" s="307">
        <f t="shared" ca="1" si="421"/>
        <v>-4.9813280771778334</v>
      </c>
      <c r="L930" s="304">
        <f t="shared" ca="1" si="406"/>
        <v>839.72840635148191</v>
      </c>
      <c r="M930" s="306">
        <f t="shared" ca="1" si="422"/>
        <v>-1.500110110251599</v>
      </c>
      <c r="N930" s="304">
        <f t="shared" ca="1" si="423"/>
        <v>-85.949978122321227</v>
      </c>
      <c r="P930" s="310">
        <f t="shared" ca="1" si="424"/>
        <v>23</v>
      </c>
      <c r="Q930" s="304">
        <f t="shared" ca="1" si="425"/>
        <v>0</v>
      </c>
      <c r="R930" s="306">
        <f t="shared" ca="1" si="426"/>
        <v>0</v>
      </c>
      <c r="S930" s="307">
        <f t="shared" ca="1" si="427"/>
        <v>2.9792999999999985</v>
      </c>
      <c r="T930" s="304">
        <f t="shared" ca="1" si="407"/>
        <v>29.226932999999988</v>
      </c>
      <c r="U930" s="311">
        <f t="shared" ca="1" si="408"/>
        <v>0</v>
      </c>
      <c r="V930" s="306">
        <f t="shared" ca="1" si="409"/>
        <v>1.2256103647107979</v>
      </c>
      <c r="W930" s="304">
        <f t="shared" ca="1" si="410"/>
        <v>27.465698396096105</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0.56667850280821064</v>
      </c>
      <c r="AH930" s="304">
        <f t="shared" ca="1" si="434"/>
        <v>-9.2188232065894731</v>
      </c>
    </row>
    <row r="931" spans="1:34" x14ac:dyDescent="0.2">
      <c r="A931" s="347">
        <f t="shared" ca="1" si="412"/>
        <v>1E-4</v>
      </c>
      <c r="B931" s="304">
        <f t="shared" ca="1" si="413"/>
        <v>37.042300000001624</v>
      </c>
      <c r="D931" s="306">
        <f t="shared" ca="1" si="414"/>
        <v>-0.6511025930439055</v>
      </c>
      <c r="E931" s="307">
        <f t="shared" ca="1" si="415"/>
        <v>-0.61417876181188014</v>
      </c>
      <c r="F931" s="304">
        <f t="shared" ca="1" si="416"/>
        <v>0.8950699068392769</v>
      </c>
      <c r="G931" s="306">
        <f t="shared" ca="1" si="417"/>
        <v>7.38842490866808</v>
      </c>
      <c r="H931" s="307">
        <f t="shared" ca="1" si="418"/>
        <v>-104.35110249814387</v>
      </c>
      <c r="I931" s="304">
        <f t="shared" ca="1" si="419"/>
        <v>104.61233873310144</v>
      </c>
      <c r="J931" s="306">
        <f t="shared" ca="1" si="420"/>
        <v>839.7136314269211</v>
      </c>
      <c r="K931" s="307">
        <f t="shared" ca="1" si="421"/>
        <v>-4.9917631843567536</v>
      </c>
      <c r="L931" s="304">
        <f t="shared" ca="1" si="406"/>
        <v>839.72846831810807</v>
      </c>
      <c r="M931" s="306">
        <f t="shared" ca="1" si="422"/>
        <v>-1.5001107725582417</v>
      </c>
      <c r="N931" s="304">
        <f t="shared" ca="1" si="423"/>
        <v>-85.950016069696602</v>
      </c>
      <c r="P931" s="310">
        <f t="shared" ca="1" si="424"/>
        <v>23</v>
      </c>
      <c r="Q931" s="304">
        <f t="shared" ca="1" si="425"/>
        <v>0</v>
      </c>
      <c r="R931" s="306">
        <f t="shared" ca="1" si="426"/>
        <v>0</v>
      </c>
      <c r="S931" s="307">
        <f t="shared" ca="1" si="427"/>
        <v>2.9792999999999985</v>
      </c>
      <c r="T931" s="304">
        <f t="shared" ca="1" si="407"/>
        <v>29.226932999999988</v>
      </c>
      <c r="U931" s="311">
        <f t="shared" ca="1" si="408"/>
        <v>0</v>
      </c>
      <c r="V931" s="306">
        <f t="shared" ca="1" si="409"/>
        <v>1.2256116436490962</v>
      </c>
      <c r="W931" s="304">
        <f t="shared" ca="1" si="410"/>
        <v>27.465756811919707</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0.56665935417038149</v>
      </c>
      <c r="AH931" s="304">
        <f t="shared" ca="1" si="434"/>
        <v>-9.2188428141161065</v>
      </c>
    </row>
    <row r="932" spans="1:34" x14ac:dyDescent="0.2">
      <c r="A932" s="347">
        <f t="shared" ca="1" si="412"/>
        <v>1E-4</v>
      </c>
      <c r="B932" s="304">
        <f t="shared" ca="1" si="413"/>
        <v>37.042400000001628</v>
      </c>
      <c r="D932" s="306">
        <f t="shared" ca="1" si="414"/>
        <v>-0.65109788738442143</v>
      </c>
      <c r="E932" s="307">
        <f t="shared" ca="1" si="415"/>
        <v>-0.61415877231608995</v>
      </c>
      <c r="F932" s="304">
        <f t="shared" ca="1" si="416"/>
        <v>0.89505276747757367</v>
      </c>
      <c r="G932" s="306">
        <f t="shared" ca="1" si="417"/>
        <v>7.3883597988793417</v>
      </c>
      <c r="H932" s="307">
        <f t="shared" ca="1" si="418"/>
        <v>-104.3511639140211</v>
      </c>
      <c r="I932" s="304">
        <f t="shared" ca="1" si="419"/>
        <v>104.61239539714495</v>
      </c>
      <c r="J932" s="306">
        <f t="shared" ca="1" si="420"/>
        <v>839.7136314269211</v>
      </c>
      <c r="K932" s="307">
        <f t="shared" ca="1" si="421"/>
        <v>-5.0021982976773618</v>
      </c>
      <c r="L932" s="304">
        <f t="shared" ca="1" si="406"/>
        <v>839.7285304144408</v>
      </c>
      <c r="M932" s="306">
        <f t="shared" ca="1" si="422"/>
        <v>-1.5001114348583304</v>
      </c>
      <c r="N932" s="304">
        <f t="shared" ca="1" si="423"/>
        <v>-85.950054016696456</v>
      </c>
      <c r="P932" s="310">
        <f t="shared" ca="1" si="424"/>
        <v>23</v>
      </c>
      <c r="Q932" s="304">
        <f t="shared" ca="1" si="425"/>
        <v>0</v>
      </c>
      <c r="R932" s="306">
        <f t="shared" ca="1" si="426"/>
        <v>0</v>
      </c>
      <c r="S932" s="307">
        <f t="shared" ca="1" si="427"/>
        <v>2.9792999999999985</v>
      </c>
      <c r="T932" s="304">
        <f t="shared" ca="1" si="407"/>
        <v>29.226932999999988</v>
      </c>
      <c r="U932" s="311">
        <f t="shared" ca="1" si="408"/>
        <v>0</v>
      </c>
      <c r="V932" s="306">
        <f t="shared" ca="1" si="409"/>
        <v>1.2256129225894821</v>
      </c>
      <c r="W932" s="304">
        <f t="shared" ca="1" si="410"/>
        <v>27.465815226862837</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0.56664020581925456</v>
      </c>
      <c r="AH932" s="304">
        <f t="shared" ca="1" si="434"/>
        <v>-9.2188624213472021</v>
      </c>
    </row>
    <row r="933" spans="1:34" x14ac:dyDescent="0.2">
      <c r="A933" s="347">
        <f t="shared" ca="1" si="412"/>
        <v>1E-4</v>
      </c>
      <c r="B933" s="304">
        <f t="shared" ca="1" si="413"/>
        <v>37.042500000001631</v>
      </c>
      <c r="D933" s="306">
        <f t="shared" ca="1" si="414"/>
        <v>-0.6510931817381409</v>
      </c>
      <c r="E933" s="307">
        <f t="shared" ca="1" si="415"/>
        <v>-0.61413878312155568</v>
      </c>
      <c r="F933" s="304">
        <f t="shared" ca="1" si="416"/>
        <v>0.89503562847515794</v>
      </c>
      <c r="G933" s="306">
        <f t="shared" ca="1" si="417"/>
        <v>7.3882946895611683</v>
      </c>
      <c r="H933" s="307">
        <f t="shared" ca="1" si="418"/>
        <v>-104.35122532789941</v>
      </c>
      <c r="I933" s="304">
        <f t="shared" ca="1" si="419"/>
        <v>104.61245205927369</v>
      </c>
      <c r="J933" s="306">
        <f t="shared" ca="1" si="420"/>
        <v>839.7136314269211</v>
      </c>
      <c r="K933" s="307">
        <f t="shared" ca="1" si="421"/>
        <v>-5.0126334171394582</v>
      </c>
      <c r="L933" s="304">
        <f t="shared" ca="1" si="406"/>
        <v>839.72859264048031</v>
      </c>
      <c r="M933" s="306">
        <f t="shared" ca="1" si="422"/>
        <v>-1.5001120971518651</v>
      </c>
      <c r="N933" s="304">
        <f t="shared" ca="1" si="423"/>
        <v>-85.950091963320787</v>
      </c>
      <c r="P933" s="310">
        <f t="shared" ca="1" si="424"/>
        <v>23</v>
      </c>
      <c r="Q933" s="304">
        <f t="shared" ca="1" si="425"/>
        <v>0</v>
      </c>
      <c r="R933" s="306">
        <f t="shared" ca="1" si="426"/>
        <v>0</v>
      </c>
      <c r="S933" s="307">
        <f t="shared" ca="1" si="427"/>
        <v>2.9792999999999985</v>
      </c>
      <c r="T933" s="304">
        <f t="shared" ca="1" si="407"/>
        <v>29.226932999999988</v>
      </c>
      <c r="U933" s="311">
        <f t="shared" ca="1" si="408"/>
        <v>0</v>
      </c>
      <c r="V933" s="306">
        <f t="shared" ca="1" si="409"/>
        <v>1.225614201531956</v>
      </c>
      <c r="W933" s="304">
        <f t="shared" ca="1" si="410"/>
        <v>27.465873640925526</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0.5666210577548263</v>
      </c>
      <c r="AH933" s="304">
        <f t="shared" ca="1" si="434"/>
        <v>-9.2188820282827688</v>
      </c>
    </row>
    <row r="934" spans="1:34" x14ac:dyDescent="0.2">
      <c r="A934" s="347">
        <f t="shared" ca="1" si="412"/>
        <v>1E-4</v>
      </c>
      <c r="B934" s="304">
        <f t="shared" ca="1" si="413"/>
        <v>37.042600000001634</v>
      </c>
      <c r="D934" s="306">
        <f t="shared" ca="1" si="414"/>
        <v>-0.6510884761050677</v>
      </c>
      <c r="E934" s="307">
        <f t="shared" ca="1" si="415"/>
        <v>-0.61411879422827198</v>
      </c>
      <c r="F934" s="304">
        <f t="shared" ca="1" si="416"/>
        <v>0.89501848983202914</v>
      </c>
      <c r="G934" s="306">
        <f t="shared" ca="1" si="417"/>
        <v>7.3882295807135581</v>
      </c>
      <c r="H934" s="307">
        <f t="shared" ca="1" si="418"/>
        <v>-104.35128673977884</v>
      </c>
      <c r="I934" s="304">
        <f t="shared" ca="1" si="419"/>
        <v>104.61250871948762</v>
      </c>
      <c r="J934" s="306">
        <f t="shared" ca="1" si="420"/>
        <v>839.7136314269211</v>
      </c>
      <c r="K934" s="307">
        <f t="shared" ca="1" si="421"/>
        <v>-5.0230685427428421</v>
      </c>
      <c r="L934" s="304">
        <f t="shared" ca="1" si="406"/>
        <v>839.72865499622685</v>
      </c>
      <c r="M934" s="306">
        <f t="shared" ca="1" si="422"/>
        <v>-1.5001127594388459</v>
      </c>
      <c r="N934" s="304">
        <f t="shared" ca="1" si="423"/>
        <v>-85.950129909569625</v>
      </c>
      <c r="P934" s="310">
        <f t="shared" ca="1" si="424"/>
        <v>23</v>
      </c>
      <c r="Q934" s="304">
        <f t="shared" ca="1" si="425"/>
        <v>0</v>
      </c>
      <c r="R934" s="306">
        <f t="shared" ca="1" si="426"/>
        <v>0</v>
      </c>
      <c r="S934" s="307">
        <f t="shared" ca="1" si="427"/>
        <v>2.9792999999999985</v>
      </c>
      <c r="T934" s="304">
        <f t="shared" ca="1" si="407"/>
        <v>29.226932999999988</v>
      </c>
      <c r="U934" s="311">
        <f t="shared" ca="1" si="408"/>
        <v>0</v>
      </c>
      <c r="V934" s="306">
        <f t="shared" ca="1" si="409"/>
        <v>1.2256154804765169</v>
      </c>
      <c r="W934" s="304">
        <f t="shared" ca="1" si="410"/>
        <v>27.465932054107732</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0.56660190997708604</v>
      </c>
      <c r="AH934" s="304">
        <f t="shared" ca="1" si="434"/>
        <v>-9.2189016349228137</v>
      </c>
    </row>
    <row r="935" spans="1:34" x14ac:dyDescent="0.2">
      <c r="A935" s="347">
        <f t="shared" ca="1" si="412"/>
        <v>1E-4</v>
      </c>
      <c r="B935" s="304">
        <f t="shared" ca="1" si="413"/>
        <v>37.042700000001638</v>
      </c>
      <c r="D935" s="306">
        <f t="shared" ca="1" si="414"/>
        <v>-0.65108377048519972</v>
      </c>
      <c r="E935" s="307">
        <f t="shared" ca="1" si="415"/>
        <v>-0.61409880563624952</v>
      </c>
      <c r="F935" s="304">
        <f t="shared" ca="1" si="416"/>
        <v>0.89500135154819316</v>
      </c>
      <c r="G935" s="306">
        <f t="shared" ca="1" si="417"/>
        <v>7.3881644723365092</v>
      </c>
      <c r="H935" s="307">
        <f t="shared" ca="1" si="418"/>
        <v>-104.3513481496594</v>
      </c>
      <c r="I935" s="304">
        <f t="shared" ca="1" si="419"/>
        <v>104.61256537778682</v>
      </c>
      <c r="J935" s="306">
        <f t="shared" ca="1" si="420"/>
        <v>839.7136314269211</v>
      </c>
      <c r="K935" s="307">
        <f t="shared" ca="1" si="421"/>
        <v>-5.0335036744873136</v>
      </c>
      <c r="L935" s="304">
        <f t="shared" ca="1" si="406"/>
        <v>839.72871748168063</v>
      </c>
      <c r="M935" s="306">
        <f t="shared" ca="1" si="422"/>
        <v>-1.5001134217192731</v>
      </c>
      <c r="N935" s="304">
        <f t="shared" ca="1" si="423"/>
        <v>-85.950167855442956</v>
      </c>
      <c r="P935" s="310">
        <f t="shared" ca="1" si="424"/>
        <v>23</v>
      </c>
      <c r="Q935" s="304">
        <f t="shared" ca="1" si="425"/>
        <v>0</v>
      </c>
      <c r="R935" s="306">
        <f t="shared" ca="1" si="426"/>
        <v>0</v>
      </c>
      <c r="S935" s="307">
        <f t="shared" ca="1" si="427"/>
        <v>2.9792999999999985</v>
      </c>
      <c r="T935" s="304">
        <f t="shared" ca="1" si="407"/>
        <v>29.226932999999988</v>
      </c>
      <c r="U935" s="311">
        <f t="shared" ca="1" si="408"/>
        <v>0</v>
      </c>
      <c r="V935" s="306">
        <f t="shared" ca="1" si="409"/>
        <v>1.2256167594231659</v>
      </c>
      <c r="W935" s="304">
        <f t="shared" ca="1" si="410"/>
        <v>27.465990466409529</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0.56658276248604444</v>
      </c>
      <c r="AH935" s="304">
        <f t="shared" ca="1" si="434"/>
        <v>-9.218921241267326</v>
      </c>
    </row>
    <row r="936" spans="1:34" x14ac:dyDescent="0.2">
      <c r="A936" s="347">
        <f t="shared" ca="1" si="412"/>
        <v>1E-4</v>
      </c>
      <c r="B936" s="304">
        <f t="shared" ca="1" si="413"/>
        <v>37.042800000001641</v>
      </c>
      <c r="D936" s="306">
        <f t="shared" ca="1" si="414"/>
        <v>-0.65107906487853795</v>
      </c>
      <c r="E936" s="307">
        <f t="shared" ca="1" si="415"/>
        <v>-0.61407881734546166</v>
      </c>
      <c r="F936" s="304">
        <f t="shared" ca="1" si="416"/>
        <v>0.89498421362363267</v>
      </c>
      <c r="G936" s="306">
        <f t="shared" ca="1" si="417"/>
        <v>7.3880993644300217</v>
      </c>
      <c r="H936" s="307">
        <f t="shared" ca="1" si="418"/>
        <v>-104.35140955754113</v>
      </c>
      <c r="I936" s="304">
        <f t="shared" ca="1" si="419"/>
        <v>104.61262203417128</v>
      </c>
      <c r="J936" s="306">
        <f t="shared" ca="1" si="420"/>
        <v>839.7136314269211</v>
      </c>
      <c r="K936" s="307">
        <f t="shared" ca="1" si="421"/>
        <v>-5.0439388123726738</v>
      </c>
      <c r="L936" s="304">
        <f t="shared" ca="1" si="406"/>
        <v>839.72878009684177</v>
      </c>
      <c r="M936" s="306">
        <f t="shared" ca="1" si="422"/>
        <v>-1.5001140839931466</v>
      </c>
      <c r="N936" s="304">
        <f t="shared" ca="1" si="423"/>
        <v>-85.950205800940779</v>
      </c>
      <c r="P936" s="310">
        <f t="shared" ca="1" si="424"/>
        <v>23</v>
      </c>
      <c r="Q936" s="304">
        <f t="shared" ca="1" si="425"/>
        <v>0</v>
      </c>
      <c r="R936" s="306">
        <f t="shared" ca="1" si="426"/>
        <v>0</v>
      </c>
      <c r="S936" s="307">
        <f t="shared" ca="1" si="427"/>
        <v>2.9792999999999985</v>
      </c>
      <c r="T936" s="304">
        <f t="shared" ca="1" si="407"/>
        <v>29.226932999999988</v>
      </c>
      <c r="U936" s="311">
        <f t="shared" ca="1" si="408"/>
        <v>0</v>
      </c>
      <c r="V936" s="306">
        <f t="shared" ca="1" si="409"/>
        <v>1.2256180383719026</v>
      </c>
      <c r="W936" s="304">
        <f t="shared" ca="1" si="410"/>
        <v>27.466048877830872</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0.56656361528167842</v>
      </c>
      <c r="AH936" s="304">
        <f t="shared" ca="1" si="434"/>
        <v>-9.2189408473163308</v>
      </c>
    </row>
    <row r="937" spans="1:34" x14ac:dyDescent="0.2">
      <c r="A937" s="347">
        <f t="shared" ca="1" si="412"/>
        <v>1E-4</v>
      </c>
      <c r="B937" s="304">
        <f t="shared" ca="1" si="413"/>
        <v>37.042900000001644</v>
      </c>
      <c r="D937" s="306">
        <f t="shared" ca="1" si="414"/>
        <v>-0.65107435928508195</v>
      </c>
      <c r="E937" s="307">
        <f t="shared" ca="1" si="415"/>
        <v>-0.6140588293559297</v>
      </c>
      <c r="F937" s="304">
        <f t="shared" ca="1" si="416"/>
        <v>0.89496707605836245</v>
      </c>
      <c r="G937" s="306">
        <f t="shared" ca="1" si="417"/>
        <v>7.3880342569940929</v>
      </c>
      <c r="H937" s="307">
        <f t="shared" ca="1" si="418"/>
        <v>-104.35147096342406</v>
      </c>
      <c r="I937" s="304">
        <f t="shared" ca="1" si="419"/>
        <v>104.61267868864105</v>
      </c>
      <c r="J937" s="306">
        <f t="shared" ca="1" si="420"/>
        <v>839.7136314269211</v>
      </c>
      <c r="K937" s="307">
        <f t="shared" ca="1" si="421"/>
        <v>-5.054373956398722</v>
      </c>
      <c r="L937" s="304">
        <f t="shared" ca="1" si="406"/>
        <v>839.7288428417105</v>
      </c>
      <c r="M937" s="306">
        <f t="shared" ca="1" si="422"/>
        <v>-1.5001147462604665</v>
      </c>
      <c r="N937" s="304">
        <f t="shared" ca="1" si="423"/>
        <v>-85.950243746063123</v>
      </c>
      <c r="P937" s="310">
        <f t="shared" ca="1" si="424"/>
        <v>23</v>
      </c>
      <c r="Q937" s="304">
        <f t="shared" ca="1" si="425"/>
        <v>0</v>
      </c>
      <c r="R937" s="306">
        <f t="shared" ca="1" si="426"/>
        <v>0</v>
      </c>
      <c r="S937" s="307">
        <f t="shared" ca="1" si="427"/>
        <v>2.9792999999999985</v>
      </c>
      <c r="T937" s="304">
        <f t="shared" ca="1" si="407"/>
        <v>29.226932999999988</v>
      </c>
      <c r="U937" s="311">
        <f t="shared" ca="1" si="408"/>
        <v>0</v>
      </c>
      <c r="V937" s="306">
        <f t="shared" ca="1" si="409"/>
        <v>1.2256193173227261</v>
      </c>
      <c r="W937" s="304">
        <f t="shared" ca="1" si="410"/>
        <v>27.466107288371777</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0.56654446836400574</v>
      </c>
      <c r="AH937" s="304">
        <f t="shared" ca="1" si="434"/>
        <v>-9.2189604530698102</v>
      </c>
    </row>
    <row r="938" spans="1:34" x14ac:dyDescent="0.2">
      <c r="A938" s="347">
        <f t="shared" ca="1" si="412"/>
        <v>1E-4</v>
      </c>
      <c r="B938" s="304">
        <f t="shared" ca="1" si="413"/>
        <v>37.043000000001648</v>
      </c>
      <c r="D938" s="306">
        <f t="shared" ca="1" si="414"/>
        <v>-0.65106965370483327</v>
      </c>
      <c r="E938" s="307">
        <f t="shared" ca="1" si="415"/>
        <v>-0.614038841667643</v>
      </c>
      <c r="F938" s="304">
        <f t="shared" ca="1" si="416"/>
        <v>0.89494993885237639</v>
      </c>
      <c r="G938" s="306">
        <f t="shared" ca="1" si="417"/>
        <v>7.3879691500287228</v>
      </c>
      <c r="H938" s="307">
        <f t="shared" ca="1" si="418"/>
        <v>-104.35153236730822</v>
      </c>
      <c r="I938" s="304">
        <f t="shared" ca="1" si="419"/>
        <v>104.61273534119616</v>
      </c>
      <c r="J938" s="306">
        <f t="shared" ca="1" si="420"/>
        <v>839.7136314269211</v>
      </c>
      <c r="K938" s="307">
        <f t="shared" ca="1" si="421"/>
        <v>-5.0648091065652583</v>
      </c>
      <c r="L938" s="304">
        <f t="shared" ca="1" si="406"/>
        <v>839.72890571628716</v>
      </c>
      <c r="M938" s="306">
        <f t="shared" ca="1" si="422"/>
        <v>-1.5001154085212327</v>
      </c>
      <c r="N938" s="304">
        <f t="shared" ca="1" si="423"/>
        <v>-85.950281690809959</v>
      </c>
      <c r="P938" s="310">
        <f t="shared" ca="1" si="424"/>
        <v>23</v>
      </c>
      <c r="Q938" s="304">
        <f t="shared" ca="1" si="425"/>
        <v>0</v>
      </c>
      <c r="R938" s="306">
        <f t="shared" ca="1" si="426"/>
        <v>0</v>
      </c>
      <c r="S938" s="307">
        <f t="shared" ca="1" si="427"/>
        <v>2.9792999999999985</v>
      </c>
      <c r="T938" s="304">
        <f t="shared" ca="1" si="407"/>
        <v>29.226932999999988</v>
      </c>
      <c r="U938" s="311">
        <f t="shared" ca="1" si="408"/>
        <v>0</v>
      </c>
      <c r="V938" s="306">
        <f t="shared" ca="1" si="409"/>
        <v>1.2256205962756379</v>
      </c>
      <c r="W938" s="304">
        <f t="shared" ca="1" si="410"/>
        <v>27.466165698032288</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0.56652532173301751</v>
      </c>
      <c r="AH938" s="304">
        <f t="shared" ca="1" si="434"/>
        <v>-9.2189800585277712</v>
      </c>
    </row>
    <row r="939" spans="1:34" x14ac:dyDescent="0.2">
      <c r="A939" s="347">
        <f t="shared" ca="1" si="412"/>
        <v>1E-4</v>
      </c>
      <c r="B939" s="304">
        <f t="shared" ca="1" si="413"/>
        <v>37.043100000001651</v>
      </c>
      <c r="D939" s="306">
        <f t="shared" ca="1" si="414"/>
        <v>-0.65106494813779403</v>
      </c>
      <c r="E939" s="307">
        <f t="shared" ca="1" si="415"/>
        <v>-0.61401885428058911</v>
      </c>
      <c r="F939" s="304">
        <f t="shared" ca="1" si="416"/>
        <v>0.89493280200566783</v>
      </c>
      <c r="G939" s="306">
        <f t="shared" ca="1" si="417"/>
        <v>7.3879040435339087</v>
      </c>
      <c r="H939" s="307">
        <f t="shared" ca="1" si="418"/>
        <v>-104.35159376919366</v>
      </c>
      <c r="I939" s="304">
        <f t="shared" ca="1" si="419"/>
        <v>104.61279199183664</v>
      </c>
      <c r="J939" s="306">
        <f t="shared" ca="1" si="420"/>
        <v>839.7136314269211</v>
      </c>
      <c r="K939" s="307">
        <f t="shared" ca="1" si="421"/>
        <v>-5.0752442628720837</v>
      </c>
      <c r="L939" s="304">
        <f t="shared" ca="1" si="406"/>
        <v>839.72896872057174</v>
      </c>
      <c r="M939" s="306">
        <f t="shared" ca="1" si="422"/>
        <v>-1.5001160707754457</v>
      </c>
      <c r="N939" s="304">
        <f t="shared" ca="1" si="423"/>
        <v>-85.95031963518133</v>
      </c>
      <c r="P939" s="310">
        <f t="shared" ca="1" si="424"/>
        <v>23</v>
      </c>
      <c r="Q939" s="304">
        <f t="shared" ca="1" si="425"/>
        <v>0</v>
      </c>
      <c r="R939" s="306">
        <f t="shared" ca="1" si="426"/>
        <v>0</v>
      </c>
      <c r="S939" s="307">
        <f t="shared" ca="1" si="427"/>
        <v>2.9792999999999985</v>
      </c>
      <c r="T939" s="304">
        <f t="shared" ca="1" si="407"/>
        <v>29.226932999999988</v>
      </c>
      <c r="U939" s="311">
        <f t="shared" ca="1" si="408"/>
        <v>0</v>
      </c>
      <c r="V939" s="306">
        <f t="shared" ca="1" si="409"/>
        <v>1.2256218752306367</v>
      </c>
      <c r="W939" s="304">
        <f t="shared" ca="1" si="410"/>
        <v>27.466224106812394</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0.56650617538869952</v>
      </c>
      <c r="AH939" s="304">
        <f t="shared" ca="1" si="434"/>
        <v>-9.2189996636902301</v>
      </c>
    </row>
    <row r="940" spans="1:34" x14ac:dyDescent="0.2">
      <c r="A940" s="347">
        <f t="shared" ca="1" si="412"/>
        <v>1E-4</v>
      </c>
      <c r="B940" s="304">
        <f t="shared" ca="1" si="413"/>
        <v>37.043200000001654</v>
      </c>
      <c r="D940" s="306">
        <f t="shared" ca="1" si="414"/>
        <v>-0.65106024258396056</v>
      </c>
      <c r="E940" s="307">
        <f t="shared" ca="1" si="415"/>
        <v>-0.61399886719476804</v>
      </c>
      <c r="F940" s="304">
        <f t="shared" ca="1" si="416"/>
        <v>0.89491566551823409</v>
      </c>
      <c r="G940" s="306">
        <f t="shared" ca="1" si="417"/>
        <v>7.3878389375096507</v>
      </c>
      <c r="H940" s="307">
        <f t="shared" ca="1" si="418"/>
        <v>-104.35165516908037</v>
      </c>
      <c r="I940" s="304">
        <f t="shared" ca="1" si="419"/>
        <v>104.61284864056252</v>
      </c>
      <c r="J940" s="306">
        <f t="shared" ca="1" si="420"/>
        <v>839.7136314269211</v>
      </c>
      <c r="K940" s="307">
        <f t="shared" ca="1" si="421"/>
        <v>-5.0856794253189976</v>
      </c>
      <c r="L940" s="304">
        <f t="shared" ca="1" si="406"/>
        <v>839.72903185456448</v>
      </c>
      <c r="M940" s="306">
        <f t="shared" ca="1" si="422"/>
        <v>-1.5001167330231053</v>
      </c>
      <c r="N940" s="304">
        <f t="shared" ca="1" si="423"/>
        <v>-85.950357579177222</v>
      </c>
      <c r="P940" s="310">
        <f t="shared" ca="1" si="424"/>
        <v>23</v>
      </c>
      <c r="Q940" s="304">
        <f t="shared" ca="1" si="425"/>
        <v>0</v>
      </c>
      <c r="R940" s="306">
        <f t="shared" ca="1" si="426"/>
        <v>0</v>
      </c>
      <c r="S940" s="307">
        <f t="shared" ca="1" si="427"/>
        <v>2.9792999999999985</v>
      </c>
      <c r="T940" s="304">
        <f t="shared" ca="1" si="407"/>
        <v>29.226932999999988</v>
      </c>
      <c r="U940" s="311">
        <f t="shared" ca="1" si="408"/>
        <v>0</v>
      </c>
      <c r="V940" s="306">
        <f t="shared" ca="1" si="409"/>
        <v>1.2256231541877234</v>
      </c>
      <c r="W940" s="304">
        <f t="shared" ca="1" si="410"/>
        <v>27.466282514712116</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0.56648702933105888</v>
      </c>
      <c r="AH940" s="304">
        <f t="shared" ca="1" si="434"/>
        <v>-9.2190192685571812</v>
      </c>
    </row>
    <row r="941" spans="1:34" x14ac:dyDescent="0.2">
      <c r="A941" s="347">
        <f t="shared" ca="1" si="412"/>
        <v>1E-4</v>
      </c>
      <c r="B941" s="304">
        <f t="shared" ca="1" si="413"/>
        <v>37.043300000001658</v>
      </c>
      <c r="D941" s="306">
        <f t="shared" ca="1" si="414"/>
        <v>-0.65105553704333652</v>
      </c>
      <c r="E941" s="307">
        <f t="shared" ca="1" si="415"/>
        <v>-0.61397888041017978</v>
      </c>
      <c r="F941" s="304">
        <f t="shared" ca="1" si="416"/>
        <v>0.89489852939007852</v>
      </c>
      <c r="G941" s="306">
        <f t="shared" ca="1" si="417"/>
        <v>7.3877738319559461</v>
      </c>
      <c r="H941" s="307">
        <f t="shared" ca="1" si="418"/>
        <v>-104.35171656696842</v>
      </c>
      <c r="I941" s="304">
        <f t="shared" ca="1" si="419"/>
        <v>104.61290528737382</v>
      </c>
      <c r="J941" s="306">
        <f t="shared" ca="1" si="420"/>
        <v>839.7136314269211</v>
      </c>
      <c r="K941" s="307">
        <f t="shared" ca="1" si="421"/>
        <v>-5.0961145939058001</v>
      </c>
      <c r="L941" s="304">
        <f t="shared" ca="1" si="406"/>
        <v>839.72909511826572</v>
      </c>
      <c r="M941" s="306">
        <f t="shared" ca="1" si="422"/>
        <v>-1.5001173952642115</v>
      </c>
      <c r="N941" s="304">
        <f t="shared" ca="1" si="423"/>
        <v>-85.950395522797621</v>
      </c>
      <c r="P941" s="310">
        <f t="shared" ca="1" si="424"/>
        <v>23</v>
      </c>
      <c r="Q941" s="304">
        <f t="shared" ca="1" si="425"/>
        <v>0</v>
      </c>
      <c r="R941" s="306">
        <f t="shared" ca="1" si="426"/>
        <v>0</v>
      </c>
      <c r="S941" s="307">
        <f t="shared" ca="1" si="427"/>
        <v>2.9792999999999985</v>
      </c>
      <c r="T941" s="304">
        <f t="shared" ca="1" si="407"/>
        <v>29.226932999999988</v>
      </c>
      <c r="U941" s="311">
        <f t="shared" ca="1" si="408"/>
        <v>0</v>
      </c>
      <c r="V941" s="306">
        <f t="shared" ca="1" si="409"/>
        <v>1.2256244331468973</v>
      </c>
      <c r="W941" s="304">
        <f t="shared" ca="1" si="410"/>
        <v>27.466340921731451</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0.5664678835600867</v>
      </c>
      <c r="AH941" s="304">
        <f t="shared" ca="1" si="434"/>
        <v>-9.2190388731286301</v>
      </c>
    </row>
    <row r="942" spans="1:34" x14ac:dyDescent="0.2">
      <c r="A942" s="347">
        <f t="shared" ca="1" si="412"/>
        <v>1E-4</v>
      </c>
      <c r="B942" s="304">
        <f t="shared" ca="1" si="413"/>
        <v>37.043400000001661</v>
      </c>
      <c r="D942" s="306">
        <f t="shared" ca="1" si="414"/>
        <v>-0.65105083151592302</v>
      </c>
      <c r="E942" s="307">
        <f t="shared" ca="1" si="415"/>
        <v>-0.61395889392681724</v>
      </c>
      <c r="F942" s="304">
        <f t="shared" ca="1" si="416"/>
        <v>0.89488139362119701</v>
      </c>
      <c r="G942" s="306">
        <f t="shared" ca="1" si="417"/>
        <v>7.3877087268727948</v>
      </c>
      <c r="H942" s="307">
        <f t="shared" ca="1" si="418"/>
        <v>-104.35177796285781</v>
      </c>
      <c r="I942" s="304">
        <f t="shared" ca="1" si="419"/>
        <v>104.61296193227057</v>
      </c>
      <c r="J942" s="306">
        <f t="shared" ca="1" si="420"/>
        <v>839.7136314269211</v>
      </c>
      <c r="K942" s="307">
        <f t="shared" ca="1" si="421"/>
        <v>-5.1065497686322914</v>
      </c>
      <c r="L942" s="304">
        <f t="shared" ca="1" si="406"/>
        <v>839.72915851167545</v>
      </c>
      <c r="M942" s="306">
        <f t="shared" ca="1" si="422"/>
        <v>-1.5001180574987647</v>
      </c>
      <c r="N942" s="304">
        <f t="shared" ca="1" si="423"/>
        <v>-85.950433466042568</v>
      </c>
      <c r="P942" s="310">
        <f t="shared" ca="1" si="424"/>
        <v>23</v>
      </c>
      <c r="Q942" s="304">
        <f t="shared" ca="1" si="425"/>
        <v>0</v>
      </c>
      <c r="R942" s="306">
        <f t="shared" ca="1" si="426"/>
        <v>0</v>
      </c>
      <c r="S942" s="307">
        <f t="shared" ca="1" si="427"/>
        <v>2.9792999999999985</v>
      </c>
      <c r="T942" s="304">
        <f t="shared" ca="1" si="407"/>
        <v>29.226932999999988</v>
      </c>
      <c r="U942" s="311">
        <f t="shared" ca="1" si="408"/>
        <v>0</v>
      </c>
      <c r="V942" s="306">
        <f t="shared" ca="1" si="409"/>
        <v>1.2256257121081586</v>
      </c>
      <c r="W942" s="304">
        <f t="shared" ca="1" si="410"/>
        <v>27.466399327870406</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0.566448738075783</v>
      </c>
      <c r="AH942" s="304">
        <f t="shared" ca="1" si="434"/>
        <v>-9.2190584774045803</v>
      </c>
    </row>
    <row r="943" spans="1:34" x14ac:dyDescent="0.2">
      <c r="A943" s="347">
        <f t="shared" ca="1" si="412"/>
        <v>1E-4</v>
      </c>
      <c r="B943" s="304">
        <f t="shared" ca="1" si="413"/>
        <v>37.043500000001664</v>
      </c>
      <c r="D943" s="306">
        <f t="shared" ca="1" si="414"/>
        <v>-0.65104612600171685</v>
      </c>
      <c r="E943" s="307">
        <f t="shared" ca="1" si="415"/>
        <v>-0.61393890774468396</v>
      </c>
      <c r="F943" s="304">
        <f t="shared" ca="1" si="416"/>
        <v>0.89486425821158988</v>
      </c>
      <c r="G943" s="306">
        <f t="shared" ca="1" si="417"/>
        <v>7.3876436222601942</v>
      </c>
      <c r="H943" s="307">
        <f t="shared" ca="1" si="418"/>
        <v>-104.35183935674858</v>
      </c>
      <c r="I943" s="304">
        <f t="shared" ca="1" si="419"/>
        <v>104.6130185752528</v>
      </c>
      <c r="J943" s="306">
        <f t="shared" ca="1" si="420"/>
        <v>839.7136314269211</v>
      </c>
      <c r="K943" s="307">
        <f t="shared" ca="1" si="421"/>
        <v>-5.1169849494982715</v>
      </c>
      <c r="L943" s="304">
        <f t="shared" ca="1" si="406"/>
        <v>839.72922203479413</v>
      </c>
      <c r="M943" s="306">
        <f t="shared" ca="1" si="422"/>
        <v>-1.5001187197267647</v>
      </c>
      <c r="N943" s="304">
        <f t="shared" ca="1" si="423"/>
        <v>-85.950471408912051</v>
      </c>
      <c r="P943" s="310">
        <f t="shared" ca="1" si="424"/>
        <v>23</v>
      </c>
      <c r="Q943" s="304">
        <f t="shared" ca="1" si="425"/>
        <v>0</v>
      </c>
      <c r="R943" s="306">
        <f t="shared" ca="1" si="426"/>
        <v>0</v>
      </c>
      <c r="S943" s="307">
        <f t="shared" ca="1" si="427"/>
        <v>2.9792999999999985</v>
      </c>
      <c r="T943" s="304">
        <f t="shared" ca="1" si="407"/>
        <v>29.226932999999988</v>
      </c>
      <c r="U943" s="311">
        <f t="shared" ca="1" si="408"/>
        <v>0</v>
      </c>
      <c r="V943" s="306">
        <f t="shared" ca="1" si="409"/>
        <v>1.2256269910715074</v>
      </c>
      <c r="W943" s="304">
        <f t="shared" ca="1" si="410"/>
        <v>27.466457733129005</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0.56642959287814776</v>
      </c>
      <c r="AH943" s="304">
        <f t="shared" ca="1" si="434"/>
        <v>-9.2190780813850299</v>
      </c>
    </row>
    <row r="944" spans="1:34" x14ac:dyDescent="0.2">
      <c r="A944" s="347">
        <f t="shared" ca="1" si="412"/>
        <v>1E-4</v>
      </c>
      <c r="B944" s="304">
        <f t="shared" ca="1" si="413"/>
        <v>37.043600000001668</v>
      </c>
      <c r="D944" s="306">
        <f t="shared" ca="1" si="414"/>
        <v>-0.65104142050072167</v>
      </c>
      <c r="E944" s="307">
        <f t="shared" ca="1" si="415"/>
        <v>-0.61391892186376751</v>
      </c>
      <c r="F944" s="304">
        <f t="shared" ca="1" si="416"/>
        <v>0.89484712316125159</v>
      </c>
      <c r="G944" s="306">
        <f t="shared" ca="1" si="417"/>
        <v>7.3875785181181444</v>
      </c>
      <c r="H944" s="307">
        <f t="shared" ca="1" si="418"/>
        <v>-104.35190074864077</v>
      </c>
      <c r="I944" s="304">
        <f t="shared" ca="1" si="419"/>
        <v>104.61307521632052</v>
      </c>
      <c r="J944" s="306">
        <f t="shared" ca="1" si="420"/>
        <v>839.7136314269211</v>
      </c>
      <c r="K944" s="307">
        <f t="shared" ca="1" si="421"/>
        <v>-5.1274201365035408</v>
      </c>
      <c r="L944" s="304">
        <f t="shared" ca="1" si="406"/>
        <v>839.72928568762165</v>
      </c>
      <c r="M944" s="306">
        <f t="shared" ca="1" si="422"/>
        <v>-1.5001193819482115</v>
      </c>
      <c r="N944" s="304">
        <f t="shared" ca="1" si="423"/>
        <v>-85.950509351406055</v>
      </c>
      <c r="P944" s="310">
        <f t="shared" ca="1" si="424"/>
        <v>23</v>
      </c>
      <c r="Q944" s="304">
        <f t="shared" ca="1" si="425"/>
        <v>0</v>
      </c>
      <c r="R944" s="306">
        <f t="shared" ca="1" si="426"/>
        <v>0</v>
      </c>
      <c r="S944" s="307">
        <f t="shared" ca="1" si="427"/>
        <v>2.9792999999999985</v>
      </c>
      <c r="T944" s="304">
        <f t="shared" ca="1" si="407"/>
        <v>29.226932999999988</v>
      </c>
      <c r="U944" s="311">
        <f t="shared" ca="1" si="408"/>
        <v>0</v>
      </c>
      <c r="V944" s="306">
        <f t="shared" ca="1" si="409"/>
        <v>1.2256282700369439</v>
      </c>
      <c r="W944" s="304">
        <f t="shared" ca="1" si="410"/>
        <v>27.466516137507252</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0.5664104479671721</v>
      </c>
      <c r="AH944" s="304">
        <f t="shared" ca="1" si="434"/>
        <v>-9.2190976850699897</v>
      </c>
    </row>
    <row r="945" spans="1:34" x14ac:dyDescent="0.2">
      <c r="A945" s="347">
        <f t="shared" ca="1" si="412"/>
        <v>1E-4</v>
      </c>
      <c r="B945" s="304">
        <f t="shared" ca="1" si="413"/>
        <v>37.043700000001671</v>
      </c>
      <c r="D945" s="306">
        <f t="shared" ca="1" si="414"/>
        <v>-0.65103671501293858</v>
      </c>
      <c r="E945" s="307">
        <f t="shared" ca="1" si="415"/>
        <v>-0.61389893628406966</v>
      </c>
      <c r="F945" s="304">
        <f t="shared" ca="1" si="416"/>
        <v>0.89482998847018447</v>
      </c>
      <c r="G945" s="306">
        <f t="shared" ca="1" si="417"/>
        <v>7.3875134144466434</v>
      </c>
      <c r="H945" s="307">
        <f t="shared" ca="1" si="418"/>
        <v>-104.3519621385344</v>
      </c>
      <c r="I945" s="304">
        <f t="shared" ca="1" si="419"/>
        <v>104.6131318554738</v>
      </c>
      <c r="J945" s="306">
        <f t="shared" ca="1" si="420"/>
        <v>839.7136314269211</v>
      </c>
      <c r="K945" s="307">
        <f t="shared" ca="1" si="421"/>
        <v>-5.1378553296478993</v>
      </c>
      <c r="L945" s="304">
        <f t="shared" ca="1" si="406"/>
        <v>839.72934947015847</v>
      </c>
      <c r="M945" s="306">
        <f t="shared" ca="1" si="422"/>
        <v>-1.5001200441631055</v>
      </c>
      <c r="N945" s="304">
        <f t="shared" ca="1" si="423"/>
        <v>-85.950547293524608</v>
      </c>
      <c r="P945" s="310">
        <f t="shared" ca="1" si="424"/>
        <v>23</v>
      </c>
      <c r="Q945" s="304">
        <f t="shared" ca="1" si="425"/>
        <v>0</v>
      </c>
      <c r="R945" s="306">
        <f t="shared" ca="1" si="426"/>
        <v>0</v>
      </c>
      <c r="S945" s="307">
        <f t="shared" ca="1" si="427"/>
        <v>2.9792999999999985</v>
      </c>
      <c r="T945" s="304">
        <f t="shared" ca="1" si="407"/>
        <v>29.226932999999988</v>
      </c>
      <c r="U945" s="311">
        <f t="shared" ca="1" si="408"/>
        <v>0</v>
      </c>
      <c r="V945" s="306">
        <f t="shared" ca="1" si="409"/>
        <v>1.2256295490044675</v>
      </c>
      <c r="W945" s="304">
        <f t="shared" ca="1" si="410"/>
        <v>27.466574541005148</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0.56639130334285248</v>
      </c>
      <c r="AH945" s="304">
        <f t="shared" ca="1" si="434"/>
        <v>-9.2191172884594597</v>
      </c>
    </row>
    <row r="946" spans="1:34" x14ac:dyDescent="0.2">
      <c r="A946" s="347">
        <f t="shared" ca="1" si="412"/>
        <v>1E-4</v>
      </c>
      <c r="B946" s="304">
        <f t="shared" ca="1" si="413"/>
        <v>37.043800000001674</v>
      </c>
      <c r="D946" s="306">
        <f t="shared" ca="1" si="414"/>
        <v>-0.6510320095383646</v>
      </c>
      <c r="E946" s="307">
        <f t="shared" ca="1" si="415"/>
        <v>-0.61387895100559042</v>
      </c>
      <c r="F946" s="304">
        <f t="shared" ca="1" si="416"/>
        <v>0.89481285413838652</v>
      </c>
      <c r="G946" s="306">
        <f t="shared" ca="1" si="417"/>
        <v>7.3874483112456897</v>
      </c>
      <c r="H946" s="307">
        <f t="shared" ca="1" si="418"/>
        <v>-104.35202352642951</v>
      </c>
      <c r="I946" s="304">
        <f t="shared" ca="1" si="419"/>
        <v>104.61318849271264</v>
      </c>
      <c r="J946" s="306">
        <f t="shared" ca="1" si="420"/>
        <v>839.7136314269211</v>
      </c>
      <c r="K946" s="307">
        <f t="shared" ca="1" si="421"/>
        <v>-5.1482905289311471</v>
      </c>
      <c r="L946" s="304">
        <f t="shared" ca="1" si="406"/>
        <v>839.72941338240469</v>
      </c>
      <c r="M946" s="306">
        <f t="shared" ca="1" si="422"/>
        <v>-1.5001207063714466</v>
      </c>
      <c r="N946" s="304">
        <f t="shared" ca="1" si="423"/>
        <v>-85.95058523526771</v>
      </c>
      <c r="P946" s="310">
        <f t="shared" ca="1" si="424"/>
        <v>23</v>
      </c>
      <c r="Q946" s="304">
        <f t="shared" ca="1" si="425"/>
        <v>0</v>
      </c>
      <c r="R946" s="306">
        <f t="shared" ca="1" si="426"/>
        <v>0</v>
      </c>
      <c r="S946" s="307">
        <f t="shared" ca="1" si="427"/>
        <v>2.9792999999999985</v>
      </c>
      <c r="T946" s="304">
        <f t="shared" ca="1" si="407"/>
        <v>29.226932999999988</v>
      </c>
      <c r="U946" s="311">
        <f t="shared" ca="1" si="408"/>
        <v>0</v>
      </c>
      <c r="V946" s="306">
        <f t="shared" ca="1" si="409"/>
        <v>1.2256308279740782</v>
      </c>
      <c r="W946" s="304">
        <f t="shared" ca="1" si="410"/>
        <v>27.466632943622709</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0.56637215900519422</v>
      </c>
      <c r="AH946" s="304">
        <f t="shared" ca="1" si="434"/>
        <v>-9.2191368915534397</v>
      </c>
    </row>
    <row r="947" spans="1:34" x14ac:dyDescent="0.2">
      <c r="A947" s="347">
        <f t="shared" ca="1" si="412"/>
        <v>1E-4</v>
      </c>
      <c r="B947" s="304">
        <f t="shared" ca="1" si="413"/>
        <v>37.043900000001678</v>
      </c>
      <c r="D947" s="306">
        <f t="shared" ca="1" si="414"/>
        <v>-0.65102730407700282</v>
      </c>
      <c r="E947" s="307">
        <f t="shared" ca="1" si="415"/>
        <v>-0.61385896602832091</v>
      </c>
      <c r="F947" s="304">
        <f t="shared" ca="1" si="416"/>
        <v>0.89479572016585418</v>
      </c>
      <c r="G947" s="306">
        <f t="shared" ca="1" si="417"/>
        <v>7.3873832085152822</v>
      </c>
      <c r="H947" s="307">
        <f t="shared" ca="1" si="418"/>
        <v>-104.35208491232611</v>
      </c>
      <c r="I947" s="304">
        <f t="shared" ca="1" si="419"/>
        <v>104.61324512803706</v>
      </c>
      <c r="J947" s="306">
        <f t="shared" ca="1" si="420"/>
        <v>839.7136314269211</v>
      </c>
      <c r="K947" s="307">
        <f t="shared" ca="1" si="421"/>
        <v>-5.1587257343530846</v>
      </c>
      <c r="L947" s="304">
        <f t="shared" ca="1" si="406"/>
        <v>839.72947742436031</v>
      </c>
      <c r="M947" s="306">
        <f t="shared" ca="1" si="422"/>
        <v>-1.5001213685732351</v>
      </c>
      <c r="N947" s="304">
        <f t="shared" ca="1" si="423"/>
        <v>-85.950623176635375</v>
      </c>
      <c r="P947" s="310">
        <f t="shared" ca="1" si="424"/>
        <v>23</v>
      </c>
      <c r="Q947" s="304">
        <f t="shared" ca="1" si="425"/>
        <v>0</v>
      </c>
      <c r="R947" s="306">
        <f t="shared" ca="1" si="426"/>
        <v>0</v>
      </c>
      <c r="S947" s="307">
        <f t="shared" ca="1" si="427"/>
        <v>2.9792999999999985</v>
      </c>
      <c r="T947" s="304">
        <f t="shared" ca="1" si="407"/>
        <v>29.226932999999988</v>
      </c>
      <c r="U947" s="311">
        <f t="shared" ca="1" si="408"/>
        <v>0</v>
      </c>
      <c r="V947" s="306">
        <f t="shared" ca="1" si="409"/>
        <v>1.2256321069457767</v>
      </c>
      <c r="W947" s="304">
        <f t="shared" ca="1" si="410"/>
        <v>27.466691345359962</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0.56635301495418844</v>
      </c>
      <c r="AH947" s="304">
        <f t="shared" ca="1" si="434"/>
        <v>-9.2191564943519353</v>
      </c>
    </row>
    <row r="948" spans="1:34" x14ac:dyDescent="0.2">
      <c r="A948" s="347">
        <f t="shared" ca="1" si="412"/>
        <v>1E-4</v>
      </c>
      <c r="B948" s="304">
        <f t="shared" ca="1" si="413"/>
        <v>37.044000000001681</v>
      </c>
      <c r="D948" s="306">
        <f t="shared" ca="1" si="414"/>
        <v>-0.65102259862885115</v>
      </c>
      <c r="E948" s="307">
        <f t="shared" ca="1" si="415"/>
        <v>-0.61383898135225579</v>
      </c>
      <c r="F948" s="304">
        <f t="shared" ca="1" si="416"/>
        <v>0.89477858655258247</v>
      </c>
      <c r="G948" s="306">
        <f t="shared" ca="1" si="417"/>
        <v>7.3873181062554192</v>
      </c>
      <c r="H948" s="307">
        <f t="shared" ca="1" si="418"/>
        <v>-104.35214629622425</v>
      </c>
      <c r="I948" s="304">
        <f t="shared" ca="1" si="419"/>
        <v>104.61330176144713</v>
      </c>
      <c r="J948" s="306">
        <f t="shared" ca="1" si="420"/>
        <v>839.7136314269211</v>
      </c>
      <c r="K948" s="307">
        <f t="shared" ca="1" si="421"/>
        <v>-5.1691609459135117</v>
      </c>
      <c r="L948" s="304">
        <f t="shared" ca="1" si="406"/>
        <v>839.72954159602602</v>
      </c>
      <c r="M948" s="306">
        <f t="shared" ca="1" si="422"/>
        <v>-1.5001220307684706</v>
      </c>
      <c r="N948" s="304">
        <f t="shared" ca="1" si="423"/>
        <v>-85.95066111762759</v>
      </c>
      <c r="P948" s="310">
        <f t="shared" ca="1" si="424"/>
        <v>23</v>
      </c>
      <c r="Q948" s="304">
        <f t="shared" ca="1" si="425"/>
        <v>0</v>
      </c>
      <c r="R948" s="306">
        <f t="shared" ca="1" si="426"/>
        <v>0</v>
      </c>
      <c r="S948" s="307">
        <f t="shared" ca="1" si="427"/>
        <v>2.9792999999999985</v>
      </c>
      <c r="T948" s="304">
        <f t="shared" ca="1" si="407"/>
        <v>29.226932999999988</v>
      </c>
      <c r="U948" s="311">
        <f t="shared" ca="1" si="408"/>
        <v>0</v>
      </c>
      <c r="V948" s="306">
        <f t="shared" ca="1" si="409"/>
        <v>1.2256333859195623</v>
      </c>
      <c r="W948" s="304">
        <f t="shared" ca="1" si="410"/>
        <v>27.466749746216898</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0.56633387118982803</v>
      </c>
      <c r="AH948" s="304">
        <f t="shared" ca="1" si="434"/>
        <v>-9.219176096854957</v>
      </c>
    </row>
    <row r="949" spans="1:34" x14ac:dyDescent="0.2">
      <c r="A949" s="347">
        <f t="shared" ca="1" si="412"/>
        <v>1E-4</v>
      </c>
      <c r="B949" s="304">
        <f t="shared" ca="1" si="413"/>
        <v>37.044100000001684</v>
      </c>
      <c r="D949" s="306">
        <f t="shared" ca="1" si="414"/>
        <v>-0.65101789319391423</v>
      </c>
      <c r="E949" s="307">
        <f t="shared" ca="1" si="415"/>
        <v>-0.61381899697739328</v>
      </c>
      <c r="F949" s="304">
        <f t="shared" ca="1" si="416"/>
        <v>0.89476145329857382</v>
      </c>
      <c r="G949" s="306">
        <f t="shared" ca="1" si="417"/>
        <v>7.3872530044660998</v>
      </c>
      <c r="H949" s="307">
        <f t="shared" ca="1" si="418"/>
        <v>-104.35220767812395</v>
      </c>
      <c r="I949" s="304">
        <f t="shared" ca="1" si="419"/>
        <v>104.61335839294284</v>
      </c>
      <c r="J949" s="306">
        <f t="shared" ca="1" si="420"/>
        <v>839.7136314269211</v>
      </c>
      <c r="K949" s="307">
        <f t="shared" ca="1" si="421"/>
        <v>-5.1795961636122287</v>
      </c>
      <c r="L949" s="304">
        <f t="shared" ca="1" si="406"/>
        <v>839.72960589740148</v>
      </c>
      <c r="M949" s="306">
        <f t="shared" ca="1" si="422"/>
        <v>-1.5001226929571536</v>
      </c>
      <c r="N949" s="304">
        <f t="shared" ca="1" si="423"/>
        <v>-85.950699058244368</v>
      </c>
      <c r="P949" s="310">
        <f t="shared" ca="1" si="424"/>
        <v>23</v>
      </c>
      <c r="Q949" s="304">
        <f t="shared" ca="1" si="425"/>
        <v>0</v>
      </c>
      <c r="R949" s="306">
        <f t="shared" ca="1" si="426"/>
        <v>0</v>
      </c>
      <c r="S949" s="307">
        <f t="shared" ca="1" si="427"/>
        <v>2.9792999999999985</v>
      </c>
      <c r="T949" s="304">
        <f t="shared" ca="1" si="407"/>
        <v>29.226932999999988</v>
      </c>
      <c r="U949" s="311">
        <f t="shared" ca="1" si="408"/>
        <v>0</v>
      </c>
      <c r="V949" s="306">
        <f t="shared" ca="1" si="409"/>
        <v>1.2256346648954355</v>
      </c>
      <c r="W949" s="304">
        <f t="shared" ca="1" si="410"/>
        <v>27.466808146193532</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0.566314727712113</v>
      </c>
      <c r="AH949" s="304">
        <f t="shared" ca="1" si="434"/>
        <v>-9.2191956990625012</v>
      </c>
    </row>
    <row r="950" spans="1:34" x14ac:dyDescent="0.2">
      <c r="A950" s="347">
        <f t="shared" ca="1" si="412"/>
        <v>1E-4</v>
      </c>
      <c r="B950" s="304">
        <f t="shared" ca="1" si="413"/>
        <v>37.044200000001688</v>
      </c>
      <c r="D950" s="306">
        <f t="shared" ca="1" si="414"/>
        <v>-0.65101318777218942</v>
      </c>
      <c r="E950" s="307">
        <f t="shared" ca="1" si="415"/>
        <v>-0.61379901290373162</v>
      </c>
      <c r="F950" s="304">
        <f t="shared" ca="1" si="416"/>
        <v>0.89474432040382534</v>
      </c>
      <c r="G950" s="306">
        <f t="shared" ca="1" si="417"/>
        <v>7.3871879031473222</v>
      </c>
      <c r="H950" s="307">
        <f t="shared" ca="1" si="418"/>
        <v>-104.35226905802524</v>
      </c>
      <c r="I950" s="304">
        <f t="shared" ca="1" si="419"/>
        <v>104.61341502252424</v>
      </c>
      <c r="J950" s="306">
        <f t="shared" ca="1" si="420"/>
        <v>839.7136314269211</v>
      </c>
      <c r="K950" s="307">
        <f t="shared" ca="1" si="421"/>
        <v>-5.1900313874490358</v>
      </c>
      <c r="L950" s="304">
        <f t="shared" ca="1" si="406"/>
        <v>839.72967032848726</v>
      </c>
      <c r="M950" s="306">
        <f t="shared" ca="1" si="422"/>
        <v>-1.5001233551392841</v>
      </c>
      <c r="N950" s="304">
        <f t="shared" ca="1" si="423"/>
        <v>-85.950736998485709</v>
      </c>
      <c r="P950" s="310">
        <f t="shared" ca="1" si="424"/>
        <v>23</v>
      </c>
      <c r="Q950" s="304">
        <f t="shared" ca="1" si="425"/>
        <v>0</v>
      </c>
      <c r="R950" s="306">
        <f t="shared" ca="1" si="426"/>
        <v>0</v>
      </c>
      <c r="S950" s="307">
        <f t="shared" ca="1" si="427"/>
        <v>2.9792999999999985</v>
      </c>
      <c r="T950" s="304">
        <f t="shared" ca="1" si="407"/>
        <v>29.226932999999988</v>
      </c>
      <c r="U950" s="311">
        <f t="shared" ca="1" si="408"/>
        <v>0</v>
      </c>
      <c r="V950" s="306">
        <f t="shared" ca="1" si="409"/>
        <v>1.2256359438733959</v>
      </c>
      <c r="W950" s="304">
        <f t="shared" ca="1" si="410"/>
        <v>27.466866545289879</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0.56629558452103979</v>
      </c>
      <c r="AH950" s="304">
        <f t="shared" ca="1" si="434"/>
        <v>-9.2192153009745734</v>
      </c>
    </row>
    <row r="951" spans="1:34" x14ac:dyDescent="0.2">
      <c r="A951" s="347">
        <f t="shared" ca="1" si="412"/>
        <v>1E-4</v>
      </c>
      <c r="B951" s="304">
        <f t="shared" ca="1" si="413"/>
        <v>37.044300000001691</v>
      </c>
      <c r="D951" s="306">
        <f t="shared" ca="1" si="414"/>
        <v>-0.65100848236367792</v>
      </c>
      <c r="E951" s="307">
        <f t="shared" ca="1" si="415"/>
        <v>-0.61377902913126547</v>
      </c>
      <c r="F951" s="304">
        <f t="shared" ca="1" si="416"/>
        <v>0.89472718786833449</v>
      </c>
      <c r="G951" s="306">
        <f t="shared" ca="1" si="417"/>
        <v>7.3871228022990856</v>
      </c>
      <c r="H951" s="307">
        <f t="shared" ca="1" si="418"/>
        <v>-104.35233043592815</v>
      </c>
      <c r="I951" s="304">
        <f t="shared" ca="1" si="419"/>
        <v>104.61347165019131</v>
      </c>
      <c r="J951" s="306">
        <f t="shared" ca="1" si="420"/>
        <v>839.7136314269211</v>
      </c>
      <c r="K951" s="307">
        <f t="shared" ca="1" si="421"/>
        <v>-5.2004666174237331</v>
      </c>
      <c r="L951" s="304">
        <f t="shared" ca="1" si="406"/>
        <v>839.72973488928335</v>
      </c>
      <c r="M951" s="306">
        <f t="shared" ca="1" si="422"/>
        <v>-1.500124017314862</v>
      </c>
      <c r="N951" s="304">
        <f t="shared" ca="1" si="423"/>
        <v>-85.950774938351628</v>
      </c>
      <c r="P951" s="310">
        <f t="shared" ca="1" si="424"/>
        <v>23</v>
      </c>
      <c r="Q951" s="304">
        <f t="shared" ca="1" si="425"/>
        <v>0</v>
      </c>
      <c r="R951" s="306">
        <f t="shared" ca="1" si="426"/>
        <v>0</v>
      </c>
      <c r="S951" s="307">
        <f t="shared" ca="1" si="427"/>
        <v>2.9792999999999985</v>
      </c>
      <c r="T951" s="304">
        <f t="shared" ca="1" si="407"/>
        <v>29.226932999999988</v>
      </c>
      <c r="U951" s="311">
        <f t="shared" ca="1" si="408"/>
        <v>0</v>
      </c>
      <c r="V951" s="306">
        <f t="shared" ca="1" si="409"/>
        <v>1.2256372228534436</v>
      </c>
      <c r="W951" s="304">
        <f t="shared" ca="1" si="410"/>
        <v>27.46692494350593</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0.56627644161660484</v>
      </c>
      <c r="AH951" s="304">
        <f t="shared" ca="1" si="434"/>
        <v>-9.2192349025911771</v>
      </c>
    </row>
    <row r="952" spans="1:34" x14ac:dyDescent="0.2">
      <c r="A952" s="347">
        <f t="shared" ca="1" si="412"/>
        <v>1E-4</v>
      </c>
      <c r="B952" s="304">
        <f t="shared" ca="1" si="413"/>
        <v>37.044400000001694</v>
      </c>
      <c r="D952" s="306">
        <f t="shared" ca="1" si="414"/>
        <v>-0.65100377696838063</v>
      </c>
      <c r="E952" s="307">
        <f t="shared" ca="1" si="415"/>
        <v>-0.61375904565999839</v>
      </c>
      <c r="F952" s="304">
        <f t="shared" ca="1" si="416"/>
        <v>0.89471005569210471</v>
      </c>
      <c r="G952" s="306">
        <f t="shared" ca="1" si="417"/>
        <v>7.387057701921389</v>
      </c>
      <c r="H952" s="307">
        <f t="shared" ca="1" si="418"/>
        <v>-104.35239181183272</v>
      </c>
      <c r="I952" s="304">
        <f t="shared" ca="1" si="419"/>
        <v>104.61352827594416</v>
      </c>
      <c r="J952" s="306">
        <f t="shared" ca="1" si="420"/>
        <v>839.7136314269211</v>
      </c>
      <c r="K952" s="307">
        <f t="shared" ca="1" si="421"/>
        <v>-5.2109018535361207</v>
      </c>
      <c r="L952" s="304">
        <f t="shared" ca="1" si="406"/>
        <v>839.7297995797901</v>
      </c>
      <c r="M952" s="306">
        <f t="shared" ca="1" si="422"/>
        <v>-1.5001246794838876</v>
      </c>
      <c r="N952" s="304">
        <f t="shared" ca="1" si="423"/>
        <v>-85.950812877842111</v>
      </c>
      <c r="P952" s="310">
        <f t="shared" ca="1" si="424"/>
        <v>23</v>
      </c>
      <c r="Q952" s="304">
        <f t="shared" ca="1" si="425"/>
        <v>0</v>
      </c>
      <c r="R952" s="306">
        <f t="shared" ca="1" si="426"/>
        <v>0</v>
      </c>
      <c r="S952" s="307">
        <f t="shared" ca="1" si="427"/>
        <v>2.9792999999999985</v>
      </c>
      <c r="T952" s="304">
        <f t="shared" ca="1" si="407"/>
        <v>29.226932999999988</v>
      </c>
      <c r="U952" s="311">
        <f t="shared" ca="1" si="408"/>
        <v>0</v>
      </c>
      <c r="V952" s="306">
        <f t="shared" ca="1" si="409"/>
        <v>1.2256385018355782</v>
      </c>
      <c r="W952" s="304">
        <f t="shared" ca="1" si="410"/>
        <v>27.466983340841715</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0.56625729899881172</v>
      </c>
      <c r="AH952" s="304">
        <f t="shared" ca="1" si="434"/>
        <v>-9.2192545039123104</v>
      </c>
    </row>
    <row r="953" spans="1:34" x14ac:dyDescent="0.2">
      <c r="A953" s="347">
        <f t="shared" ca="1" si="412"/>
        <v>1E-4</v>
      </c>
      <c r="B953" s="304">
        <f t="shared" ca="1" si="413"/>
        <v>37.044500000001698</v>
      </c>
      <c r="D953" s="306">
        <f t="shared" ca="1" si="414"/>
        <v>-0.65099907158629711</v>
      </c>
      <c r="E953" s="307">
        <f t="shared" ca="1" si="415"/>
        <v>-0.61373906248991794</v>
      </c>
      <c r="F953" s="304">
        <f t="shared" ca="1" si="416"/>
        <v>0.89469292387512722</v>
      </c>
      <c r="G953" s="306">
        <f t="shared" ca="1" si="417"/>
        <v>7.3869926020142307</v>
      </c>
      <c r="H953" s="307">
        <f t="shared" ca="1" si="418"/>
        <v>-104.35245318573897</v>
      </c>
      <c r="I953" s="304">
        <f t="shared" ca="1" si="419"/>
        <v>104.61358489978277</v>
      </c>
      <c r="J953" s="306">
        <f t="shared" ca="1" si="420"/>
        <v>839.7136314269211</v>
      </c>
      <c r="K953" s="307">
        <f t="shared" ca="1" si="421"/>
        <v>-5.2213370957859997</v>
      </c>
      <c r="L953" s="304">
        <f t="shared" ca="1" si="406"/>
        <v>839.7298644000075</v>
      </c>
      <c r="M953" s="306">
        <f t="shared" ca="1" si="422"/>
        <v>-1.5001253416463607</v>
      </c>
      <c r="N953" s="304">
        <f t="shared" ca="1" si="423"/>
        <v>-85.950850816957171</v>
      </c>
      <c r="P953" s="310">
        <f t="shared" ca="1" si="424"/>
        <v>23</v>
      </c>
      <c r="Q953" s="304">
        <f t="shared" ca="1" si="425"/>
        <v>0</v>
      </c>
      <c r="R953" s="306">
        <f t="shared" ca="1" si="426"/>
        <v>0</v>
      </c>
      <c r="S953" s="307">
        <f t="shared" ca="1" si="427"/>
        <v>2.9792999999999985</v>
      </c>
      <c r="T953" s="304">
        <f t="shared" ca="1" si="407"/>
        <v>29.226932999999988</v>
      </c>
      <c r="U953" s="311">
        <f t="shared" ca="1" si="408"/>
        <v>0</v>
      </c>
      <c r="V953" s="306">
        <f t="shared" ca="1" si="409"/>
        <v>1.2256397808198005</v>
      </c>
      <c r="W953" s="304">
        <f t="shared" ca="1" si="410"/>
        <v>27.46704173729724</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0.56623815666764976</v>
      </c>
      <c r="AH953" s="304">
        <f t="shared" ca="1" si="434"/>
        <v>-9.2192741049379823</v>
      </c>
    </row>
    <row r="954" spans="1:34" x14ac:dyDescent="0.2">
      <c r="A954" s="347">
        <f t="shared" ca="1" si="412"/>
        <v>1E-4</v>
      </c>
      <c r="B954" s="304">
        <f t="shared" ca="1" si="413"/>
        <v>37.044600000001701</v>
      </c>
      <c r="D954" s="306">
        <f t="shared" ca="1" si="414"/>
        <v>-0.65099436621743034</v>
      </c>
      <c r="E954" s="307">
        <f t="shared" ca="1" si="415"/>
        <v>-0.6137190796210259</v>
      </c>
      <c r="F954" s="304">
        <f t="shared" ca="1" si="416"/>
        <v>0.8946757924174058</v>
      </c>
      <c r="G954" s="306">
        <f t="shared" ca="1" si="417"/>
        <v>7.3869275025776089</v>
      </c>
      <c r="H954" s="307">
        <f t="shared" ca="1" si="418"/>
        <v>-104.35251455764693</v>
      </c>
      <c r="I954" s="304">
        <f t="shared" ca="1" si="419"/>
        <v>104.61364152170715</v>
      </c>
      <c r="J954" s="306">
        <f t="shared" ca="1" si="420"/>
        <v>839.7136314269211</v>
      </c>
      <c r="K954" s="307">
        <f t="shared" ca="1" si="421"/>
        <v>-5.2317723441731694</v>
      </c>
      <c r="L954" s="304">
        <f t="shared" ca="1" si="406"/>
        <v>839.7299293499359</v>
      </c>
      <c r="M954" s="306">
        <f t="shared" ca="1" si="422"/>
        <v>-1.5001260038022819</v>
      </c>
      <c r="N954" s="304">
        <f t="shared" ca="1" si="423"/>
        <v>-85.950888755696838</v>
      </c>
      <c r="P954" s="310">
        <f t="shared" ca="1" si="424"/>
        <v>23</v>
      </c>
      <c r="Q954" s="304">
        <f t="shared" ca="1" si="425"/>
        <v>0</v>
      </c>
      <c r="R954" s="306">
        <f t="shared" ca="1" si="426"/>
        <v>0</v>
      </c>
      <c r="S954" s="307">
        <f t="shared" ca="1" si="427"/>
        <v>2.9792999999999985</v>
      </c>
      <c r="T954" s="304">
        <f t="shared" ca="1" si="407"/>
        <v>29.226932999999988</v>
      </c>
      <c r="U954" s="311">
        <f t="shared" ca="1" si="408"/>
        <v>0</v>
      </c>
      <c r="V954" s="306">
        <f t="shared" ca="1" si="409"/>
        <v>1.2256410598061096</v>
      </c>
      <c r="W954" s="304">
        <f t="shared" ca="1" si="410"/>
        <v>27.467100132872499</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0.56621901462311719</v>
      </c>
      <c r="AH954" s="304">
        <f t="shared" ca="1" si="434"/>
        <v>-9.2192937056681945</v>
      </c>
    </row>
    <row r="955" spans="1:34" x14ac:dyDescent="0.2">
      <c r="A955" s="347">
        <f t="shared" ca="1" si="412"/>
        <v>1E-4</v>
      </c>
      <c r="B955" s="304">
        <f t="shared" ca="1" si="413"/>
        <v>37.044700000001704</v>
      </c>
      <c r="D955" s="306">
        <f t="shared" ca="1" si="414"/>
        <v>-0.65098966086177534</v>
      </c>
      <c r="E955" s="307">
        <f t="shared" ca="1" si="415"/>
        <v>-0.61369909705332049</v>
      </c>
      <c r="F955" s="304">
        <f t="shared" ca="1" si="416"/>
        <v>0.89465866131893579</v>
      </c>
      <c r="G955" s="306">
        <f t="shared" ca="1" si="417"/>
        <v>7.3868624036115227</v>
      </c>
      <c r="H955" s="307">
        <f t="shared" ca="1" si="418"/>
        <v>-104.35257592755663</v>
      </c>
      <c r="I955" s="304">
        <f t="shared" ca="1" si="419"/>
        <v>104.61369814171736</v>
      </c>
      <c r="J955" s="306">
        <f t="shared" ca="1" si="420"/>
        <v>839.7136314269211</v>
      </c>
      <c r="K955" s="307">
        <f t="shared" ca="1" si="421"/>
        <v>-5.2422075986974299</v>
      </c>
      <c r="L955" s="304">
        <f t="shared" ca="1" si="406"/>
        <v>839.72999442957553</v>
      </c>
      <c r="M955" s="306">
        <f t="shared" ca="1" si="422"/>
        <v>-1.5001266659516508</v>
      </c>
      <c r="N955" s="304">
        <f t="shared" ca="1" si="423"/>
        <v>-85.950926694061081</v>
      </c>
      <c r="P955" s="310">
        <f t="shared" ca="1" si="424"/>
        <v>23</v>
      </c>
      <c r="Q955" s="304">
        <f t="shared" ca="1" si="425"/>
        <v>0</v>
      </c>
      <c r="R955" s="306">
        <f t="shared" ca="1" si="426"/>
        <v>0</v>
      </c>
      <c r="S955" s="307">
        <f t="shared" ca="1" si="427"/>
        <v>2.9792999999999985</v>
      </c>
      <c r="T955" s="304">
        <f t="shared" ca="1" si="407"/>
        <v>29.226932999999988</v>
      </c>
      <c r="U955" s="311">
        <f t="shared" ca="1" si="408"/>
        <v>0</v>
      </c>
      <c r="V955" s="306">
        <f t="shared" ca="1" si="409"/>
        <v>1.2256423387945061</v>
      </c>
      <c r="W955" s="304">
        <f t="shared" ca="1" si="410"/>
        <v>27.46715852756752</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0.56619987286521578</v>
      </c>
      <c r="AH955" s="304">
        <f t="shared" ca="1" si="434"/>
        <v>-9.2193133061029471</v>
      </c>
    </row>
    <row r="956" spans="1:34" x14ac:dyDescent="0.2">
      <c r="A956" s="347">
        <f t="shared" ca="1" si="412"/>
        <v>1E-4</v>
      </c>
      <c r="B956" s="304">
        <f t="shared" ca="1" si="413"/>
        <v>37.044800000001707</v>
      </c>
      <c r="D956" s="306">
        <f t="shared" ca="1" si="414"/>
        <v>-0.65098495551933799</v>
      </c>
      <c r="E956" s="307">
        <f t="shared" ca="1" si="415"/>
        <v>-0.61367911478679282</v>
      </c>
      <c r="F956" s="304">
        <f t="shared" ca="1" si="416"/>
        <v>0.89464153057971563</v>
      </c>
      <c r="G956" s="306">
        <f t="shared" ca="1" si="417"/>
        <v>7.3867973051159703</v>
      </c>
      <c r="H956" s="307">
        <f t="shared" ca="1" si="418"/>
        <v>-104.35263729546811</v>
      </c>
      <c r="I956" s="304">
        <f t="shared" ca="1" si="419"/>
        <v>104.61375475981345</v>
      </c>
      <c r="J956" s="306">
        <f t="shared" ca="1" si="420"/>
        <v>839.7136314269211</v>
      </c>
      <c r="K956" s="307">
        <f t="shared" ca="1" si="421"/>
        <v>-5.2526428593585814</v>
      </c>
      <c r="L956" s="304">
        <f t="shared" ca="1" si="406"/>
        <v>839.73005963892649</v>
      </c>
      <c r="M956" s="306">
        <f t="shared" ca="1" si="422"/>
        <v>-1.5001273280944676</v>
      </c>
      <c r="N956" s="304">
        <f t="shared" ca="1" si="423"/>
        <v>-85.950964632049917</v>
      </c>
      <c r="P956" s="310">
        <f t="shared" ca="1" si="424"/>
        <v>23</v>
      </c>
      <c r="Q956" s="304">
        <f t="shared" ca="1" si="425"/>
        <v>0</v>
      </c>
      <c r="R956" s="306">
        <f t="shared" ca="1" si="426"/>
        <v>0</v>
      </c>
      <c r="S956" s="307">
        <f t="shared" ca="1" si="427"/>
        <v>2.9792999999999985</v>
      </c>
      <c r="T956" s="304">
        <f t="shared" ca="1" si="407"/>
        <v>29.226932999999988</v>
      </c>
      <c r="U956" s="311">
        <f t="shared" ca="1" si="408"/>
        <v>0</v>
      </c>
      <c r="V956" s="306">
        <f t="shared" ca="1" si="409"/>
        <v>1.2256436177849896</v>
      </c>
      <c r="W956" s="304">
        <f t="shared" ca="1" si="410"/>
        <v>27.46721692138232</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0.56618073139393665</v>
      </c>
      <c r="AH956" s="304">
        <f t="shared" ca="1" si="434"/>
        <v>-9.2193329062422489</v>
      </c>
    </row>
    <row r="957" spans="1:34" x14ac:dyDescent="0.2">
      <c r="A957" s="347">
        <f t="shared" ca="1" si="412"/>
        <v>1E-4</v>
      </c>
      <c r="B957" s="304">
        <f t="shared" ca="1" si="413"/>
        <v>37.044900000001711</v>
      </c>
      <c r="D957" s="306">
        <f t="shared" ca="1" si="414"/>
        <v>-0.65098025019011718</v>
      </c>
      <c r="E957" s="307">
        <f t="shared" ca="1" si="415"/>
        <v>-0.61365913282143758</v>
      </c>
      <c r="F957" s="304">
        <f t="shared" ca="1" si="416"/>
        <v>0.89462440019974099</v>
      </c>
      <c r="G957" s="306">
        <f t="shared" ca="1" si="417"/>
        <v>7.3867322070909509</v>
      </c>
      <c r="H957" s="307">
        <f t="shared" ca="1" si="418"/>
        <v>-104.3526986613814</v>
      </c>
      <c r="I957" s="304">
        <f t="shared" ca="1" si="419"/>
        <v>104.6138113759954</v>
      </c>
      <c r="J957" s="306">
        <f t="shared" ca="1" si="420"/>
        <v>839.7136314269211</v>
      </c>
      <c r="K957" s="307">
        <f t="shared" ca="1" si="421"/>
        <v>-5.2630781261564241</v>
      </c>
      <c r="L957" s="304">
        <f t="shared" ca="1" si="406"/>
        <v>839.73012497798914</v>
      </c>
      <c r="M957" s="306">
        <f t="shared" ca="1" si="422"/>
        <v>-1.5001279902307323</v>
      </c>
      <c r="N957" s="304">
        <f t="shared" ca="1" si="423"/>
        <v>-85.951002569663345</v>
      </c>
      <c r="P957" s="310">
        <f t="shared" ca="1" si="424"/>
        <v>23</v>
      </c>
      <c r="Q957" s="304">
        <f t="shared" ca="1" si="425"/>
        <v>0</v>
      </c>
      <c r="R957" s="306">
        <f t="shared" ca="1" si="426"/>
        <v>0</v>
      </c>
      <c r="S957" s="307">
        <f t="shared" ca="1" si="427"/>
        <v>2.9792999999999985</v>
      </c>
      <c r="T957" s="304">
        <f t="shared" ca="1" si="407"/>
        <v>29.226932999999988</v>
      </c>
      <c r="U957" s="311">
        <f t="shared" ca="1" si="408"/>
        <v>0</v>
      </c>
      <c r="V957" s="306">
        <f t="shared" ca="1" si="409"/>
        <v>1.2256448967775606</v>
      </c>
      <c r="W957" s="304">
        <f t="shared" ca="1" si="410"/>
        <v>27.46727531431689</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0.56616159020927448</v>
      </c>
      <c r="AH957" s="304">
        <f t="shared" ca="1" si="434"/>
        <v>-9.2193525060861052</v>
      </c>
    </row>
    <row r="958" spans="1:34" x14ac:dyDescent="0.2">
      <c r="A958" s="347">
        <f t="shared" ca="1" si="412"/>
        <v>1E-4</v>
      </c>
      <c r="B958" s="304">
        <f t="shared" ca="1" si="413"/>
        <v>37.045000000001714</v>
      </c>
      <c r="D958" s="306">
        <f t="shared" ca="1" si="414"/>
        <v>-0.6509755448741138</v>
      </c>
      <c r="E958" s="307">
        <f t="shared" ca="1" si="415"/>
        <v>-0.61363915115725831</v>
      </c>
      <c r="F958" s="304">
        <f t="shared" ca="1" si="416"/>
        <v>0.89460727017901542</v>
      </c>
      <c r="G958" s="306">
        <f t="shared" ca="1" si="417"/>
        <v>7.3866671095364635</v>
      </c>
      <c r="H958" s="307">
        <f t="shared" ca="1" si="418"/>
        <v>-104.35276002529652</v>
      </c>
      <c r="I958" s="304">
        <f t="shared" ca="1" si="419"/>
        <v>104.61386799026327</v>
      </c>
      <c r="J958" s="306">
        <f t="shared" ca="1" si="420"/>
        <v>839.7136314269211</v>
      </c>
      <c r="K958" s="307">
        <f t="shared" ca="1" si="421"/>
        <v>-5.2735133990907581</v>
      </c>
      <c r="L958" s="304">
        <f t="shared" ca="1" si="406"/>
        <v>839.73019044676334</v>
      </c>
      <c r="M958" s="306">
        <f t="shared" ca="1" si="422"/>
        <v>-1.5001286523604451</v>
      </c>
      <c r="N958" s="304">
        <f t="shared" ca="1" si="423"/>
        <v>-85.951040506901393</v>
      </c>
      <c r="P958" s="310">
        <f t="shared" ca="1" si="424"/>
        <v>23</v>
      </c>
      <c r="Q958" s="304">
        <f t="shared" ca="1" si="425"/>
        <v>0</v>
      </c>
      <c r="R958" s="306">
        <f t="shared" ca="1" si="426"/>
        <v>0</v>
      </c>
      <c r="S958" s="307">
        <f t="shared" ca="1" si="427"/>
        <v>2.9792999999999985</v>
      </c>
      <c r="T958" s="304">
        <f t="shared" ca="1" si="407"/>
        <v>29.226932999999988</v>
      </c>
      <c r="U958" s="311">
        <f t="shared" ca="1" si="408"/>
        <v>0</v>
      </c>
      <c r="V958" s="306">
        <f t="shared" ca="1" si="409"/>
        <v>1.2256461757722183</v>
      </c>
      <c r="W958" s="304">
        <f t="shared" ca="1" si="410"/>
        <v>27.46733370637126</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0.56614244931122926</v>
      </c>
      <c r="AH958" s="304">
        <f t="shared" ca="1" si="434"/>
        <v>-9.2193721056345126</v>
      </c>
    </row>
    <row r="959" spans="1:34" x14ac:dyDescent="0.2">
      <c r="A959" s="347">
        <f t="shared" ca="1" si="412"/>
        <v>1E-4</v>
      </c>
      <c r="B959" s="304">
        <f t="shared" ca="1" si="413"/>
        <v>37.045100000001717</v>
      </c>
      <c r="D959" s="306">
        <f t="shared" ca="1" si="414"/>
        <v>-0.65097083957132762</v>
      </c>
      <c r="E959" s="307">
        <f t="shared" ca="1" si="415"/>
        <v>-0.61361916979424436</v>
      </c>
      <c r="F959" s="304">
        <f t="shared" ca="1" si="416"/>
        <v>0.8945901405175315</v>
      </c>
      <c r="G959" s="306">
        <f t="shared" ca="1" si="417"/>
        <v>7.3866020124525065</v>
      </c>
      <c r="H959" s="307">
        <f t="shared" ca="1" si="418"/>
        <v>-104.3528213872135</v>
      </c>
      <c r="I959" s="304">
        <f t="shared" ca="1" si="419"/>
        <v>104.61392460261708</v>
      </c>
      <c r="J959" s="306">
        <f t="shared" ca="1" si="420"/>
        <v>839.7136314269211</v>
      </c>
      <c r="K959" s="307">
        <f t="shared" ca="1" si="421"/>
        <v>-5.2839486781613836</v>
      </c>
      <c r="L959" s="304">
        <f t="shared" ca="1" si="406"/>
        <v>839.73025604524958</v>
      </c>
      <c r="M959" s="306">
        <f t="shared" ca="1" si="422"/>
        <v>-1.5001293144836063</v>
      </c>
      <c r="N959" s="304">
        <f t="shared" ca="1" si="423"/>
        <v>-85.951078443764047</v>
      </c>
      <c r="P959" s="310">
        <f t="shared" ca="1" si="424"/>
        <v>23</v>
      </c>
      <c r="Q959" s="304">
        <f t="shared" ca="1" si="425"/>
        <v>0</v>
      </c>
      <c r="R959" s="306">
        <f t="shared" ca="1" si="426"/>
        <v>0</v>
      </c>
      <c r="S959" s="307">
        <f t="shared" ca="1" si="427"/>
        <v>2.9792999999999985</v>
      </c>
      <c r="T959" s="304">
        <f t="shared" ca="1" si="407"/>
        <v>29.226932999999988</v>
      </c>
      <c r="U959" s="311">
        <f t="shared" ca="1" si="408"/>
        <v>0</v>
      </c>
      <c r="V959" s="306">
        <f t="shared" ca="1" si="409"/>
        <v>1.2256474547689635</v>
      </c>
      <c r="W959" s="304">
        <f t="shared" ca="1" si="410"/>
        <v>27.467392097545414</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0.56612330869979743</v>
      </c>
      <c r="AH959" s="304">
        <f t="shared" ca="1" si="434"/>
        <v>-9.2193917048874816</v>
      </c>
    </row>
    <row r="960" spans="1:34" x14ac:dyDescent="0.2">
      <c r="A960" s="347">
        <f t="shared" ca="1" si="412"/>
        <v>1E-4</v>
      </c>
      <c r="B960" s="304">
        <f t="shared" ca="1" si="413"/>
        <v>37.045200000001721</v>
      </c>
      <c r="D960" s="306">
        <f t="shared" ca="1" si="414"/>
        <v>-0.65096613428175731</v>
      </c>
      <c r="E960" s="307">
        <f t="shared" ca="1" si="415"/>
        <v>-0.61359918873240105</v>
      </c>
      <c r="F960" s="304">
        <f t="shared" ca="1" si="416"/>
        <v>0.89457301121529231</v>
      </c>
      <c r="G960" s="306">
        <f t="shared" ca="1" si="417"/>
        <v>7.3865369158390779</v>
      </c>
      <c r="H960" s="307">
        <f t="shared" ca="1" si="418"/>
        <v>-104.35288274713237</v>
      </c>
      <c r="I960" s="304">
        <f t="shared" ca="1" si="419"/>
        <v>104.61398121305683</v>
      </c>
      <c r="J960" s="306">
        <f t="shared" ca="1" si="420"/>
        <v>839.7136314269211</v>
      </c>
      <c r="K960" s="307">
        <f t="shared" ca="1" si="421"/>
        <v>-5.2943839633681007</v>
      </c>
      <c r="L960" s="304">
        <f t="shared" ca="1" si="406"/>
        <v>839.73032177344805</v>
      </c>
      <c r="M960" s="306">
        <f t="shared" ca="1" si="422"/>
        <v>-1.5001299766002156</v>
      </c>
      <c r="N960" s="304">
        <f t="shared" ca="1" si="423"/>
        <v>-85.951116380251293</v>
      </c>
      <c r="P960" s="310">
        <f t="shared" ca="1" si="424"/>
        <v>23</v>
      </c>
      <c r="Q960" s="304">
        <f t="shared" ca="1" si="425"/>
        <v>0</v>
      </c>
      <c r="R960" s="306">
        <f t="shared" ca="1" si="426"/>
        <v>0</v>
      </c>
      <c r="S960" s="307">
        <f t="shared" ca="1" si="427"/>
        <v>2.9792999999999985</v>
      </c>
      <c r="T960" s="304">
        <f t="shared" ca="1" si="407"/>
        <v>29.226932999999988</v>
      </c>
      <c r="U960" s="311">
        <f t="shared" ca="1" si="408"/>
        <v>0</v>
      </c>
      <c r="V960" s="306">
        <f t="shared" ca="1" si="409"/>
        <v>1.2256487337677959</v>
      </c>
      <c r="W960" s="304">
        <f t="shared" ca="1" si="410"/>
        <v>27.467450487839386</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0.56610416837497901</v>
      </c>
      <c r="AH960" s="304">
        <f t="shared" ca="1" si="434"/>
        <v>-9.219411303845007</v>
      </c>
    </row>
    <row r="961" spans="1:34" x14ac:dyDescent="0.2">
      <c r="A961" s="347">
        <f t="shared" ca="1" si="412"/>
        <v>1E-4</v>
      </c>
      <c r="B961" s="304">
        <f t="shared" ca="1" si="413"/>
        <v>37.045300000001724</v>
      </c>
      <c r="D961" s="306">
        <f t="shared" ca="1" si="414"/>
        <v>-0.65096142900540643</v>
      </c>
      <c r="E961" s="307">
        <f t="shared" ca="1" si="415"/>
        <v>-0.61357920797171772</v>
      </c>
      <c r="F961" s="304">
        <f t="shared" ca="1" si="416"/>
        <v>0.89455588227229343</v>
      </c>
      <c r="G961" s="306">
        <f t="shared" ca="1" si="417"/>
        <v>7.3864718196961769</v>
      </c>
      <c r="H961" s="307">
        <f t="shared" ca="1" si="418"/>
        <v>-104.35294410505317</v>
      </c>
      <c r="I961" s="304">
        <f t="shared" ca="1" si="419"/>
        <v>104.61403782158261</v>
      </c>
      <c r="J961" s="306">
        <f t="shared" ca="1" si="420"/>
        <v>839.7136314269211</v>
      </c>
      <c r="K961" s="307">
        <f t="shared" ca="1" si="421"/>
        <v>-5.3048192547107096</v>
      </c>
      <c r="L961" s="304">
        <f t="shared" ca="1" si="406"/>
        <v>839.73038763135889</v>
      </c>
      <c r="M961" s="306">
        <f t="shared" ca="1" si="422"/>
        <v>-1.5001306387102733</v>
      </c>
      <c r="N961" s="304">
        <f t="shared" ca="1" si="423"/>
        <v>-85.951154316363173</v>
      </c>
      <c r="P961" s="310">
        <f t="shared" ca="1" si="424"/>
        <v>23</v>
      </c>
      <c r="Q961" s="304">
        <f t="shared" ca="1" si="425"/>
        <v>0</v>
      </c>
      <c r="R961" s="306">
        <f t="shared" ca="1" si="426"/>
        <v>0</v>
      </c>
      <c r="S961" s="307">
        <f t="shared" ca="1" si="427"/>
        <v>2.9792999999999985</v>
      </c>
      <c r="T961" s="304">
        <f t="shared" ca="1" si="407"/>
        <v>29.226932999999988</v>
      </c>
      <c r="U961" s="311">
        <f t="shared" ca="1" si="408"/>
        <v>0</v>
      </c>
      <c r="V961" s="306">
        <f t="shared" ca="1" si="409"/>
        <v>1.2256500127687147</v>
      </c>
      <c r="W961" s="304">
        <f t="shared" ca="1" si="410"/>
        <v>27.467508877253167</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0.56608502833676688</v>
      </c>
      <c r="AH961" s="304">
        <f t="shared" ca="1" si="434"/>
        <v>-9.2194309025070993</v>
      </c>
    </row>
    <row r="962" spans="1:34" x14ac:dyDescent="0.2">
      <c r="A962" s="347">
        <f t="shared" ca="1" si="412"/>
        <v>1E-4</v>
      </c>
      <c r="B962" s="304">
        <f t="shared" ca="1" si="413"/>
        <v>37.045400000001727</v>
      </c>
      <c r="D962" s="306">
        <f t="shared" ca="1" si="414"/>
        <v>-0.65095672374227365</v>
      </c>
      <c r="E962" s="307">
        <f t="shared" ca="1" si="415"/>
        <v>-0.61355922751219794</v>
      </c>
      <c r="F962" s="304">
        <f t="shared" ca="1" si="416"/>
        <v>0.8945387536885363</v>
      </c>
      <c r="G962" s="306">
        <f t="shared" ca="1" si="417"/>
        <v>7.3864067240238027</v>
      </c>
      <c r="H962" s="307">
        <f t="shared" ca="1" si="418"/>
        <v>-104.35300546097592</v>
      </c>
      <c r="I962" s="304">
        <f t="shared" ca="1" si="419"/>
        <v>104.61409442819439</v>
      </c>
      <c r="J962" s="306">
        <f t="shared" ca="1" si="420"/>
        <v>839.7136314269211</v>
      </c>
      <c r="K962" s="307">
        <f t="shared" ca="1" si="421"/>
        <v>-5.3152545521890113</v>
      </c>
      <c r="L962" s="304">
        <f t="shared" ca="1" si="406"/>
        <v>839.73045361898221</v>
      </c>
      <c r="M962" s="306">
        <f t="shared" ca="1" si="422"/>
        <v>-1.5001313008137793</v>
      </c>
      <c r="N962" s="304">
        <f t="shared" ca="1" si="423"/>
        <v>-85.951192252099673</v>
      </c>
      <c r="P962" s="310">
        <f t="shared" ca="1" si="424"/>
        <v>23</v>
      </c>
      <c r="Q962" s="304">
        <f t="shared" ca="1" si="425"/>
        <v>0</v>
      </c>
      <c r="R962" s="306">
        <f t="shared" ca="1" si="426"/>
        <v>0</v>
      </c>
      <c r="S962" s="307">
        <f t="shared" ca="1" si="427"/>
        <v>2.9792999999999985</v>
      </c>
      <c r="T962" s="304">
        <f t="shared" ca="1" si="407"/>
        <v>29.226932999999988</v>
      </c>
      <c r="U962" s="311">
        <f t="shared" ca="1" si="408"/>
        <v>0</v>
      </c>
      <c r="V962" s="306">
        <f t="shared" ca="1" si="409"/>
        <v>1.2256512917717208</v>
      </c>
      <c r="W962" s="304">
        <f t="shared" ca="1" si="410"/>
        <v>27.467567265786769</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0.56606588858516282</v>
      </c>
      <c r="AH962" s="304">
        <f t="shared" ca="1" si="434"/>
        <v>-9.2194505008737551</v>
      </c>
    </row>
    <row r="963" spans="1:34" x14ac:dyDescent="0.2">
      <c r="A963" s="347">
        <f t="shared" ca="1" si="412"/>
        <v>1E-4</v>
      </c>
      <c r="B963" s="304">
        <f t="shared" ca="1" si="413"/>
        <v>37.045500000001731</v>
      </c>
      <c r="D963" s="306">
        <f t="shared" ca="1" si="414"/>
        <v>-0.65095201849236062</v>
      </c>
      <c r="E963" s="307">
        <f t="shared" ca="1" si="415"/>
        <v>-0.61353924735383281</v>
      </c>
      <c r="F963" s="304">
        <f t="shared" ca="1" si="416"/>
        <v>0.89452162546401648</v>
      </c>
      <c r="G963" s="306">
        <f t="shared" ca="1" si="417"/>
        <v>7.3863416288219534</v>
      </c>
      <c r="H963" s="307">
        <f t="shared" ca="1" si="418"/>
        <v>-104.35306681490066</v>
      </c>
      <c r="I963" s="304">
        <f t="shared" ca="1" si="419"/>
        <v>104.61415103289225</v>
      </c>
      <c r="J963" s="306">
        <f t="shared" ca="1" si="420"/>
        <v>839.7136314269211</v>
      </c>
      <c r="K963" s="307">
        <f t="shared" ca="1" si="421"/>
        <v>-5.3256898558028052</v>
      </c>
      <c r="L963" s="304">
        <f t="shared" ca="1" si="406"/>
        <v>839.73051973631834</v>
      </c>
      <c r="M963" s="306">
        <f t="shared" ca="1" si="422"/>
        <v>-1.5001319629107339</v>
      </c>
      <c r="N963" s="304">
        <f t="shared" ca="1" si="423"/>
        <v>-85.951230187460794</v>
      </c>
      <c r="P963" s="310">
        <f t="shared" ca="1" si="424"/>
        <v>23</v>
      </c>
      <c r="Q963" s="304">
        <f t="shared" ca="1" si="425"/>
        <v>0</v>
      </c>
      <c r="R963" s="306">
        <f t="shared" ca="1" si="426"/>
        <v>0</v>
      </c>
      <c r="S963" s="307">
        <f t="shared" ca="1" si="427"/>
        <v>2.9792999999999985</v>
      </c>
      <c r="T963" s="304">
        <f t="shared" ca="1" si="407"/>
        <v>29.226932999999988</v>
      </c>
      <c r="U963" s="311">
        <f t="shared" ca="1" si="408"/>
        <v>0</v>
      </c>
      <c r="V963" s="306">
        <f t="shared" ca="1" si="409"/>
        <v>1.2256525707768144</v>
      </c>
      <c r="W963" s="304">
        <f t="shared" ca="1" si="410"/>
        <v>27.467625653440233</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0.56604674912015973</v>
      </c>
      <c r="AH963" s="304">
        <f t="shared" ca="1" si="434"/>
        <v>-9.2194700989449814</v>
      </c>
    </row>
    <row r="964" spans="1:34" x14ac:dyDescent="0.2">
      <c r="A964" s="347">
        <f t="shared" ca="1" si="412"/>
        <v>1E-4</v>
      </c>
      <c r="B964" s="304">
        <f t="shared" ca="1" si="413"/>
        <v>37.045600000001734</v>
      </c>
      <c r="D964" s="306">
        <f t="shared" ca="1" si="414"/>
        <v>-0.65094731325566679</v>
      </c>
      <c r="E964" s="307">
        <f t="shared" ca="1" si="415"/>
        <v>-0.61351926749661523</v>
      </c>
      <c r="F964" s="304">
        <f t="shared" ca="1" si="416"/>
        <v>0.89450449759872896</v>
      </c>
      <c r="G964" s="306">
        <f t="shared" ca="1" si="417"/>
        <v>7.3862765340906282</v>
      </c>
      <c r="H964" s="307">
        <f t="shared" ca="1" si="418"/>
        <v>-104.3531281668274</v>
      </c>
      <c r="I964" s="304">
        <f t="shared" ca="1" si="419"/>
        <v>104.61420763567615</v>
      </c>
      <c r="J964" s="306">
        <f t="shared" ca="1" si="420"/>
        <v>839.7136314269211</v>
      </c>
      <c r="K964" s="307">
        <f t="shared" ca="1" si="421"/>
        <v>-5.3361251655518913</v>
      </c>
      <c r="L964" s="304">
        <f t="shared" ref="L964:L1004" ca="1" si="435">SQRT(pos_x^2+pos_z^2)</f>
        <v>839.7305859833674</v>
      </c>
      <c r="M964" s="306">
        <f t="shared" ca="1" si="422"/>
        <v>-1.5001326250011369</v>
      </c>
      <c r="N964" s="304">
        <f t="shared" ca="1" si="423"/>
        <v>-85.95126812244655</v>
      </c>
      <c r="P964" s="310">
        <f t="shared" ca="1" si="424"/>
        <v>23</v>
      </c>
      <c r="Q964" s="304">
        <f t="shared" ca="1" si="425"/>
        <v>0</v>
      </c>
      <c r="R964" s="306">
        <f t="shared" ca="1" si="426"/>
        <v>0</v>
      </c>
      <c r="S964" s="307">
        <f t="shared" ca="1" si="427"/>
        <v>2.9792999999999985</v>
      </c>
      <c r="T964" s="304">
        <f t="shared" ref="T964:T1004" ca="1" si="436">m*g</f>
        <v>29.226932999999988</v>
      </c>
      <c r="U964" s="311">
        <f t="shared" ref="U964:U1004" ca="1" si="437">IF(pos_xz&lt;L_rampe,Poids*COS(Beta),0)</f>
        <v>0</v>
      </c>
      <c r="V964" s="306">
        <f t="shared" ref="V964:V1004" ca="1" si="438">Rho_moyen*(20000-Alt_rampe-pos_z)/(20000+Alt_rampe+pos_z)</f>
        <v>1.2256538497839946</v>
      </c>
      <c r="W964" s="304">
        <f t="shared" ref="W964:W1003" ca="1" si="439">1/2*Rho*Sref*Cx*vit_xz^2</f>
        <v>27.467684040213516</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0.56602760994174872</v>
      </c>
      <c r="AH964" s="304">
        <f t="shared" ca="1" si="434"/>
        <v>-9.2194896967207889</v>
      </c>
    </row>
    <row r="965" spans="1:34" x14ac:dyDescent="0.2">
      <c r="A965" s="347">
        <f t="shared" ref="A965:A1004" ca="1" si="441">IF(B964+0.01&lt;=T_ini+ROUNDUP(Temps_fin_propu,0), 0.01, IF(K964&gt;0, 0.1, 0.0001))</f>
        <v>1E-4</v>
      </c>
      <c r="B965" s="304">
        <f t="shared" ref="B965:B1004" ca="1" si="442">B964+pas</f>
        <v>37.045700000001737</v>
      </c>
      <c r="D965" s="306">
        <f t="shared" ref="D965:D1004" ca="1" si="443">IF(AND(L964&lt;L_rampe,Poussee&lt;Poids*SIN(M964)),0,(-W964+Poussee)/m*COS(M964)-U964/m*SIN(M964))</f>
        <v>-0.65094260803219461</v>
      </c>
      <c r="E965" s="307">
        <f t="shared" ref="E965:E1004" ca="1" si="444">IF(AND(L964&lt;L_rampe,Poussee&lt;Poids*SIN(M964)),0,(-W964+Poussee)/m*SIN(M964)+U964/m*COS(M964)-Poids/m)</f>
        <v>-0.61349928794055408</v>
      </c>
      <c r="F965" s="304">
        <f t="shared" ref="F965:F1004" ca="1" si="445">SQRT(acc_x^2+acc_z^2)</f>
        <v>0.89448737009268176</v>
      </c>
      <c r="G965" s="306">
        <f t="shared" ref="G965:G1004" ca="1" si="446">G964+acc_x*pas</f>
        <v>7.3862114398298253</v>
      </c>
      <c r="H965" s="307">
        <f t="shared" ref="H965:H1004" ca="1" si="447">H964+acc_z*pas</f>
        <v>-104.3531895167562</v>
      </c>
      <c r="I965" s="304">
        <f t="shared" ref="I965:I1004" ca="1" si="448">SQRT(vit_x^2+vit_z^2)</f>
        <v>104.61426423654621</v>
      </c>
      <c r="J965" s="306">
        <f t="shared" ref="J965:J1004" ca="1" si="449">J964+0.5*(vit_x+G964)*pas*(K964&gt;=0)</f>
        <v>839.7136314269211</v>
      </c>
      <c r="K965" s="307">
        <f t="shared" ref="K965:K1004" ca="1" si="450">K964+0.5*(vit_z+H964)*pas</f>
        <v>-5.3465604814360708</v>
      </c>
      <c r="L965" s="304">
        <f t="shared" ca="1" si="435"/>
        <v>839.73065236012951</v>
      </c>
      <c r="M965" s="306">
        <f t="shared" ref="M965:M1004" ca="1" si="451">IF(AND(L964&gt;L_rampe,G965&gt;0),ATAN2(G965,H965),$M$4)</f>
        <v>-1.5001332870849886</v>
      </c>
      <c r="N965" s="304">
        <f t="shared" ref="N965:N1004" ca="1" si="452">DEGREES(Beta)</f>
        <v>-85.951306057056939</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2.9792999999999985</v>
      </c>
      <c r="T965" s="304">
        <f t="shared" ca="1" si="436"/>
        <v>29.226932999999988</v>
      </c>
      <c r="U965" s="311">
        <f t="shared" ca="1" si="437"/>
        <v>0</v>
      </c>
      <c r="V965" s="306">
        <f t="shared" ca="1" si="438"/>
        <v>1.225655128793262</v>
      </c>
      <c r="W965" s="304">
        <f t="shared" ca="1" si="439"/>
        <v>27.467742426106685</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0.56600847104994045</v>
      </c>
      <c r="AH965" s="304">
        <f t="shared" ref="AH965:AH1004" ca="1" si="463">IF(AND(L964&lt;L_rampe,Poussee&lt;Poids*SIN(M964)), g*SIN(M964), (-W964+Poussee)/m)</f>
        <v>-9.2195092942011652</v>
      </c>
    </row>
    <row r="966" spans="1:34" x14ac:dyDescent="0.2">
      <c r="A966" s="347">
        <f t="shared" ca="1" si="441"/>
        <v>1E-4</v>
      </c>
      <c r="B966" s="304">
        <f t="shared" ca="1" si="442"/>
        <v>37.045800000001741</v>
      </c>
      <c r="D966" s="306">
        <f t="shared" ca="1" si="443"/>
        <v>-0.6509379028219423</v>
      </c>
      <c r="E966" s="307">
        <f t="shared" ca="1" si="444"/>
        <v>-0.61347930868562983</v>
      </c>
      <c r="F966" s="304">
        <f t="shared" ca="1" si="445"/>
        <v>0.89447024294586053</v>
      </c>
      <c r="G966" s="306">
        <f t="shared" ca="1" si="446"/>
        <v>7.3861463460395429</v>
      </c>
      <c r="H966" s="307">
        <f t="shared" ca="1" si="447"/>
        <v>-104.35325086468707</v>
      </c>
      <c r="I966" s="304">
        <f t="shared" ca="1" si="448"/>
        <v>104.61432083550238</v>
      </c>
      <c r="J966" s="306">
        <f t="shared" ca="1" si="449"/>
        <v>839.7136314269211</v>
      </c>
      <c r="K966" s="307">
        <f t="shared" ca="1" si="450"/>
        <v>-5.3569958034551428</v>
      </c>
      <c r="L966" s="304">
        <f t="shared" ca="1" si="435"/>
        <v>839.73071886660512</v>
      </c>
      <c r="M966" s="306">
        <f t="shared" ca="1" si="451"/>
        <v>-1.5001339491622891</v>
      </c>
      <c r="N966" s="304">
        <f t="shared" ca="1" si="452"/>
        <v>-85.951343991291964</v>
      </c>
      <c r="P966" s="310">
        <f t="shared" ca="1" si="453"/>
        <v>23</v>
      </c>
      <c r="Q966" s="304">
        <f t="shared" ca="1" si="454"/>
        <v>0</v>
      </c>
      <c r="R966" s="306">
        <f t="shared" ca="1" si="455"/>
        <v>0</v>
      </c>
      <c r="S966" s="307">
        <f t="shared" ca="1" si="456"/>
        <v>2.9792999999999985</v>
      </c>
      <c r="T966" s="304">
        <f t="shared" ca="1" si="436"/>
        <v>29.226932999999988</v>
      </c>
      <c r="U966" s="311">
        <f t="shared" ca="1" si="437"/>
        <v>0</v>
      </c>
      <c r="V966" s="306">
        <f t="shared" ca="1" si="438"/>
        <v>1.2256564078046164</v>
      </c>
      <c r="W966" s="304">
        <f t="shared" ca="1" si="439"/>
        <v>27.467800811119712</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0.56598933244471539</v>
      </c>
      <c r="AH966" s="304">
        <f t="shared" ca="1" si="463"/>
        <v>-9.2195288913861315</v>
      </c>
    </row>
    <row r="967" spans="1:34" x14ac:dyDescent="0.2">
      <c r="A967" s="347">
        <f t="shared" ca="1" si="441"/>
        <v>1E-4</v>
      </c>
      <c r="B967" s="304">
        <f t="shared" ca="1" si="442"/>
        <v>37.045900000001744</v>
      </c>
      <c r="D967" s="306">
        <f t="shared" ca="1" si="443"/>
        <v>-0.65093319762491009</v>
      </c>
      <c r="E967" s="307">
        <f t="shared" ca="1" si="444"/>
        <v>-0.61345932973185135</v>
      </c>
      <c r="F967" s="304">
        <f t="shared" ca="1" si="445"/>
        <v>0.89445311615827161</v>
      </c>
      <c r="G967" s="306">
        <f t="shared" ca="1" si="446"/>
        <v>7.3860812527197801</v>
      </c>
      <c r="H967" s="307">
        <f t="shared" ca="1" si="447"/>
        <v>-104.35331221062005</v>
      </c>
      <c r="I967" s="304">
        <f t="shared" ca="1" si="448"/>
        <v>104.61437743254471</v>
      </c>
      <c r="J967" s="306">
        <f t="shared" ca="1" si="449"/>
        <v>839.7136314269211</v>
      </c>
      <c r="K967" s="307">
        <f t="shared" ca="1" si="450"/>
        <v>-5.3674311316089085</v>
      </c>
      <c r="L967" s="304">
        <f t="shared" ca="1" si="435"/>
        <v>839.73078550279422</v>
      </c>
      <c r="M967" s="306">
        <f t="shared" ca="1" si="451"/>
        <v>-1.5001346112330385</v>
      </c>
      <c r="N967" s="304">
        <f t="shared" ca="1" si="452"/>
        <v>-85.951381925151637</v>
      </c>
      <c r="P967" s="310">
        <f t="shared" ca="1" si="453"/>
        <v>23</v>
      </c>
      <c r="Q967" s="304">
        <f t="shared" ca="1" si="454"/>
        <v>0</v>
      </c>
      <c r="R967" s="306">
        <f t="shared" ca="1" si="455"/>
        <v>0</v>
      </c>
      <c r="S967" s="307">
        <f t="shared" ca="1" si="456"/>
        <v>2.9792999999999985</v>
      </c>
      <c r="T967" s="304">
        <f t="shared" ca="1" si="436"/>
        <v>29.226932999999988</v>
      </c>
      <c r="U967" s="311">
        <f t="shared" ca="1" si="437"/>
        <v>0</v>
      </c>
      <c r="V967" s="306">
        <f t="shared" ca="1" si="438"/>
        <v>1.2256576868180573</v>
      </c>
      <c r="W967" s="304">
        <f t="shared" ca="1" si="439"/>
        <v>27.467859195252604</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0.5659701941260824</v>
      </c>
      <c r="AH967" s="304">
        <f t="shared" ca="1" si="463"/>
        <v>-9.2195484882756773</v>
      </c>
    </row>
    <row r="968" spans="1:34" x14ac:dyDescent="0.2">
      <c r="A968" s="347">
        <f t="shared" ca="1" si="441"/>
        <v>1E-4</v>
      </c>
      <c r="B968" s="304">
        <f t="shared" ca="1" si="442"/>
        <v>37.046000000001747</v>
      </c>
      <c r="D968" s="306">
        <f t="shared" ca="1" si="443"/>
        <v>-0.6509284924410994</v>
      </c>
      <c r="E968" s="307">
        <f t="shared" ca="1" si="444"/>
        <v>-0.6134393510792151</v>
      </c>
      <c r="F968" s="304">
        <f t="shared" ca="1" si="445"/>
        <v>0.89443598972991412</v>
      </c>
      <c r="G968" s="306">
        <f t="shared" ca="1" si="446"/>
        <v>7.3860161598705361</v>
      </c>
      <c r="H968" s="307">
        <f t="shared" ca="1" si="447"/>
        <v>-104.35337355455515</v>
      </c>
      <c r="I968" s="304">
        <f t="shared" ca="1" si="448"/>
        <v>104.61443402767325</v>
      </c>
      <c r="J968" s="306">
        <f t="shared" ca="1" si="449"/>
        <v>839.7136314269211</v>
      </c>
      <c r="K968" s="307">
        <f t="shared" ca="1" si="450"/>
        <v>-5.3778664658971671</v>
      </c>
      <c r="L968" s="304">
        <f t="shared" ca="1" si="435"/>
        <v>839.73085226869694</v>
      </c>
      <c r="M968" s="306">
        <f t="shared" ca="1" si="451"/>
        <v>-1.5001352732972366</v>
      </c>
      <c r="N968" s="304">
        <f t="shared" ca="1" si="452"/>
        <v>-85.951419858635958</v>
      </c>
      <c r="P968" s="310">
        <f t="shared" ca="1" si="453"/>
        <v>23</v>
      </c>
      <c r="Q968" s="304">
        <f t="shared" ca="1" si="454"/>
        <v>0</v>
      </c>
      <c r="R968" s="306">
        <f t="shared" ca="1" si="455"/>
        <v>0</v>
      </c>
      <c r="S968" s="307">
        <f t="shared" ca="1" si="456"/>
        <v>2.9792999999999985</v>
      </c>
      <c r="T968" s="304">
        <f t="shared" ca="1" si="436"/>
        <v>29.226932999999988</v>
      </c>
      <c r="U968" s="311">
        <f t="shared" ca="1" si="437"/>
        <v>0</v>
      </c>
      <c r="V968" s="306">
        <f t="shared" ca="1" si="438"/>
        <v>1.2256589658335855</v>
      </c>
      <c r="W968" s="304">
        <f t="shared" ca="1" si="439"/>
        <v>27.467917578505396</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0.56595105609403973</v>
      </c>
      <c r="AH968" s="304">
        <f t="shared" ca="1" si="463"/>
        <v>-9.2195680848698078</v>
      </c>
    </row>
    <row r="969" spans="1:34" x14ac:dyDescent="0.2">
      <c r="A969" s="347">
        <f t="shared" ca="1" si="441"/>
        <v>1E-4</v>
      </c>
      <c r="B969" s="304">
        <f t="shared" ca="1" si="442"/>
        <v>37.046100000001751</v>
      </c>
      <c r="D969" s="306">
        <f t="shared" ca="1" si="443"/>
        <v>-0.65092378727051181</v>
      </c>
      <c r="E969" s="307">
        <f t="shared" ca="1" si="444"/>
        <v>-0.61341937272771041</v>
      </c>
      <c r="F969" s="304">
        <f t="shared" ca="1" si="445"/>
        <v>0.89441886366078183</v>
      </c>
      <c r="G969" s="306">
        <f t="shared" ca="1" si="446"/>
        <v>7.385951067491809</v>
      </c>
      <c r="H969" s="307">
        <f t="shared" ca="1" si="447"/>
        <v>-104.35343489649242</v>
      </c>
      <c r="I969" s="304">
        <f t="shared" ca="1" si="448"/>
        <v>104.61449062088801</v>
      </c>
      <c r="J969" s="306">
        <f t="shared" ca="1" si="449"/>
        <v>839.7136314269211</v>
      </c>
      <c r="K969" s="307">
        <f t="shared" ca="1" si="450"/>
        <v>-5.3883018063197197</v>
      </c>
      <c r="L969" s="304">
        <f t="shared" ca="1" si="435"/>
        <v>839.7309191643136</v>
      </c>
      <c r="M969" s="306">
        <f t="shared" ca="1" si="451"/>
        <v>-1.5001359353548838</v>
      </c>
      <c r="N969" s="304">
        <f t="shared" ca="1" si="452"/>
        <v>-85.951457791744943</v>
      </c>
      <c r="P969" s="310">
        <f t="shared" ca="1" si="453"/>
        <v>23</v>
      </c>
      <c r="Q969" s="304">
        <f t="shared" ca="1" si="454"/>
        <v>0</v>
      </c>
      <c r="R969" s="306">
        <f t="shared" ca="1" si="455"/>
        <v>0</v>
      </c>
      <c r="S969" s="307">
        <f t="shared" ca="1" si="456"/>
        <v>2.9792999999999985</v>
      </c>
      <c r="T969" s="304">
        <f t="shared" ca="1" si="436"/>
        <v>29.226932999999988</v>
      </c>
      <c r="U969" s="311">
        <f t="shared" ca="1" si="437"/>
        <v>0</v>
      </c>
      <c r="V969" s="306">
        <f t="shared" ca="1" si="438"/>
        <v>1.2256602448512006</v>
      </c>
      <c r="W969" s="304">
        <f t="shared" ca="1" si="439"/>
        <v>27.467975960878078</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0.56593191834857492</v>
      </c>
      <c r="AH969" s="304">
        <f t="shared" ca="1" si="463"/>
        <v>-9.2195876811685338</v>
      </c>
    </row>
    <row r="970" spans="1:34" x14ac:dyDescent="0.2">
      <c r="A970" s="347">
        <f t="shared" ca="1" si="441"/>
        <v>1E-4</v>
      </c>
      <c r="B970" s="304">
        <f t="shared" ca="1" si="442"/>
        <v>37.046200000001754</v>
      </c>
      <c r="D970" s="306">
        <f t="shared" ca="1" si="443"/>
        <v>-0.65091908211314609</v>
      </c>
      <c r="E970" s="307">
        <f t="shared" ca="1" si="444"/>
        <v>-0.61339939467734084</v>
      </c>
      <c r="F970" s="304">
        <f t="shared" ca="1" si="445"/>
        <v>0.89440173795087674</v>
      </c>
      <c r="G970" s="306">
        <f t="shared" ca="1" si="446"/>
        <v>7.3858859755835979</v>
      </c>
      <c r="H970" s="307">
        <f t="shared" ca="1" si="447"/>
        <v>-104.35349623643188</v>
      </c>
      <c r="I970" s="304">
        <f t="shared" ca="1" si="448"/>
        <v>104.61454721218901</v>
      </c>
      <c r="J970" s="306">
        <f t="shared" ca="1" si="449"/>
        <v>839.7136314269211</v>
      </c>
      <c r="K970" s="307">
        <f t="shared" ca="1" si="450"/>
        <v>-5.3987371528763655</v>
      </c>
      <c r="L970" s="304">
        <f t="shared" ca="1" si="435"/>
        <v>839.73098618964457</v>
      </c>
      <c r="M970" s="306">
        <f t="shared" ca="1" si="451"/>
        <v>-1.5001365974059802</v>
      </c>
      <c r="N970" s="304">
        <f t="shared" ca="1" si="452"/>
        <v>-85.951495724478576</v>
      </c>
      <c r="P970" s="310">
        <f t="shared" ca="1" si="453"/>
        <v>23</v>
      </c>
      <c r="Q970" s="304">
        <f t="shared" ca="1" si="454"/>
        <v>0</v>
      </c>
      <c r="R970" s="306">
        <f t="shared" ca="1" si="455"/>
        <v>0</v>
      </c>
      <c r="S970" s="307">
        <f t="shared" ca="1" si="456"/>
        <v>2.9792999999999985</v>
      </c>
      <c r="T970" s="304">
        <f t="shared" ca="1" si="436"/>
        <v>29.226932999999988</v>
      </c>
      <c r="U970" s="311">
        <f t="shared" ca="1" si="437"/>
        <v>0</v>
      </c>
      <c r="V970" s="306">
        <f t="shared" ca="1" si="438"/>
        <v>1.2256615238709021</v>
      </c>
      <c r="W970" s="304">
        <f t="shared" ca="1" si="439"/>
        <v>27.468034342370654</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0.56591278088969155</v>
      </c>
      <c r="AH970" s="304">
        <f t="shared" ca="1" si="463"/>
        <v>-9.2196072771718498</v>
      </c>
    </row>
    <row r="971" spans="1:34" x14ac:dyDescent="0.2">
      <c r="A971" s="347">
        <f t="shared" ca="1" si="441"/>
        <v>1E-4</v>
      </c>
      <c r="B971" s="304">
        <f t="shared" ca="1" si="442"/>
        <v>37.046300000001757</v>
      </c>
      <c r="D971" s="306">
        <f t="shared" ca="1" si="443"/>
        <v>-0.65091437696900134</v>
      </c>
      <c r="E971" s="307">
        <f t="shared" ca="1" si="444"/>
        <v>-0.6133794169281046</v>
      </c>
      <c r="F971" s="304">
        <f t="shared" ca="1" si="445"/>
        <v>0.89438461260019719</v>
      </c>
      <c r="G971" s="306">
        <f t="shared" ca="1" si="446"/>
        <v>7.3858208841459012</v>
      </c>
      <c r="H971" s="307">
        <f t="shared" ca="1" si="447"/>
        <v>-104.35355757437357</v>
      </c>
      <c r="I971" s="304">
        <f t="shared" ca="1" si="448"/>
        <v>104.61460380157631</v>
      </c>
      <c r="J971" s="306">
        <f t="shared" ca="1" si="449"/>
        <v>839.7136314269211</v>
      </c>
      <c r="K971" s="307">
        <f t="shared" ca="1" si="450"/>
        <v>-5.4091725055669055</v>
      </c>
      <c r="L971" s="304">
        <f t="shared" ca="1" si="435"/>
        <v>839.73105334468971</v>
      </c>
      <c r="M971" s="306">
        <f t="shared" ca="1" si="451"/>
        <v>-1.5001372594505253</v>
      </c>
      <c r="N971" s="304">
        <f t="shared" ca="1" si="452"/>
        <v>-85.951533656836872</v>
      </c>
      <c r="P971" s="310">
        <f t="shared" ca="1" si="453"/>
        <v>23</v>
      </c>
      <c r="Q971" s="304">
        <f t="shared" ca="1" si="454"/>
        <v>0</v>
      </c>
      <c r="R971" s="306">
        <f t="shared" ca="1" si="455"/>
        <v>0</v>
      </c>
      <c r="S971" s="307">
        <f t="shared" ca="1" si="456"/>
        <v>2.9792999999999985</v>
      </c>
      <c r="T971" s="304">
        <f t="shared" ca="1" si="436"/>
        <v>29.226932999999988</v>
      </c>
      <c r="U971" s="311">
        <f t="shared" ca="1" si="437"/>
        <v>0</v>
      </c>
      <c r="V971" s="306">
        <f t="shared" ca="1" si="438"/>
        <v>1.225662802892691</v>
      </c>
      <c r="W971" s="304">
        <f t="shared" ca="1" si="439"/>
        <v>27.468092722983169</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0.56589364371739137</v>
      </c>
      <c r="AH971" s="304">
        <f t="shared" ca="1" si="463"/>
        <v>-9.2196268728797595</v>
      </c>
    </row>
    <row r="972" spans="1:34" x14ac:dyDescent="0.2">
      <c r="A972" s="347">
        <f t="shared" ca="1" si="441"/>
        <v>1E-4</v>
      </c>
      <c r="B972" s="304">
        <f t="shared" ca="1" si="442"/>
        <v>37.046400000001761</v>
      </c>
      <c r="D972" s="306">
        <f t="shared" ca="1" si="443"/>
        <v>-0.65090967183808357</v>
      </c>
      <c r="E972" s="307">
        <f t="shared" ca="1" si="444"/>
        <v>-0.61335943947998572</v>
      </c>
      <c r="F972" s="304">
        <f t="shared" ca="1" si="445"/>
        <v>0.89436748760873674</v>
      </c>
      <c r="G972" s="306">
        <f t="shared" ca="1" si="446"/>
        <v>7.385755793178717</v>
      </c>
      <c r="H972" s="307">
        <f t="shared" ca="1" si="447"/>
        <v>-104.35361891031752</v>
      </c>
      <c r="I972" s="304">
        <f t="shared" ca="1" si="448"/>
        <v>104.61466038904992</v>
      </c>
      <c r="J972" s="306">
        <f t="shared" ca="1" si="449"/>
        <v>839.7136314269211</v>
      </c>
      <c r="K972" s="307">
        <f t="shared" ca="1" si="450"/>
        <v>-5.4196078643911401</v>
      </c>
      <c r="L972" s="304">
        <f t="shared" ca="1" si="435"/>
        <v>839.73112062944938</v>
      </c>
      <c r="M972" s="306">
        <f t="shared" ca="1" si="451"/>
        <v>-1.50013792148852</v>
      </c>
      <c r="N972" s="304">
        <f t="shared" ca="1" si="452"/>
        <v>-85.951571588819846</v>
      </c>
      <c r="P972" s="310">
        <f t="shared" ca="1" si="453"/>
        <v>23</v>
      </c>
      <c r="Q972" s="304">
        <f t="shared" ca="1" si="454"/>
        <v>0</v>
      </c>
      <c r="R972" s="306">
        <f t="shared" ca="1" si="455"/>
        <v>0</v>
      </c>
      <c r="S972" s="307">
        <f t="shared" ca="1" si="456"/>
        <v>2.9792999999999985</v>
      </c>
      <c r="T972" s="304">
        <f t="shared" ca="1" si="436"/>
        <v>29.226932999999988</v>
      </c>
      <c r="U972" s="311">
        <f t="shared" ca="1" si="437"/>
        <v>0</v>
      </c>
      <c r="V972" s="306">
        <f t="shared" ca="1" si="438"/>
        <v>1.2256640819165667</v>
      </c>
      <c r="W972" s="304">
        <f t="shared" ca="1" si="439"/>
        <v>27.468151102715613</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0.56587450683165663</v>
      </c>
      <c r="AH972" s="304">
        <f t="shared" ca="1" si="463"/>
        <v>-9.219646468292277</v>
      </c>
    </row>
    <row r="973" spans="1:34" x14ac:dyDescent="0.2">
      <c r="A973" s="347">
        <f t="shared" ca="1" si="441"/>
        <v>1E-4</v>
      </c>
      <c r="B973" s="304">
        <f t="shared" ca="1" si="442"/>
        <v>37.046500000001764</v>
      </c>
      <c r="D973" s="306">
        <f t="shared" ca="1" si="443"/>
        <v>-0.65090496672038745</v>
      </c>
      <c r="E973" s="307">
        <f t="shared" ca="1" si="444"/>
        <v>-0.61333946233298775</v>
      </c>
      <c r="F973" s="304">
        <f t="shared" ca="1" si="445"/>
        <v>0.89435036297649428</v>
      </c>
      <c r="G973" s="306">
        <f t="shared" ca="1" si="446"/>
        <v>7.3856907026820453</v>
      </c>
      <c r="H973" s="307">
        <f t="shared" ca="1" si="447"/>
        <v>-104.35368024426376</v>
      </c>
      <c r="I973" s="304">
        <f t="shared" ca="1" si="448"/>
        <v>104.61471697460988</v>
      </c>
      <c r="J973" s="306">
        <f t="shared" ca="1" si="449"/>
        <v>839.7136314269211</v>
      </c>
      <c r="K973" s="307">
        <f t="shared" ca="1" si="450"/>
        <v>-5.4300432293488692</v>
      </c>
      <c r="L973" s="304">
        <f t="shared" ca="1" si="435"/>
        <v>839.73118804392379</v>
      </c>
      <c r="M973" s="306">
        <f t="shared" ca="1" si="451"/>
        <v>-1.5001385835199639</v>
      </c>
      <c r="N973" s="304">
        <f t="shared" ca="1" si="452"/>
        <v>-85.951609520427482</v>
      </c>
      <c r="P973" s="310">
        <f t="shared" ca="1" si="453"/>
        <v>23</v>
      </c>
      <c r="Q973" s="304">
        <f t="shared" ca="1" si="454"/>
        <v>0</v>
      </c>
      <c r="R973" s="306">
        <f t="shared" ca="1" si="455"/>
        <v>0</v>
      </c>
      <c r="S973" s="307">
        <f t="shared" ca="1" si="456"/>
        <v>2.9792999999999985</v>
      </c>
      <c r="T973" s="304">
        <f t="shared" ca="1" si="436"/>
        <v>29.226932999999988</v>
      </c>
      <c r="U973" s="311">
        <f t="shared" ca="1" si="437"/>
        <v>0</v>
      </c>
      <c r="V973" s="306">
        <f t="shared" ca="1" si="438"/>
        <v>1.2256653609425294</v>
      </c>
      <c r="W973" s="304">
        <f t="shared" ca="1" si="439"/>
        <v>27.468209481568007</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0.56585537023248733</v>
      </c>
      <c r="AH973" s="304">
        <f t="shared" ca="1" si="463"/>
        <v>-9.2196660634094005</v>
      </c>
    </row>
    <row r="974" spans="1:34" x14ac:dyDescent="0.2">
      <c r="A974" s="347">
        <f t="shared" ca="1" si="441"/>
        <v>1E-4</v>
      </c>
      <c r="B974" s="304">
        <f t="shared" ca="1" si="442"/>
        <v>37.046600000001767</v>
      </c>
      <c r="D974" s="306">
        <f t="shared" ca="1" si="443"/>
        <v>-0.65090026161591663</v>
      </c>
      <c r="E974" s="307">
        <f t="shared" ca="1" si="444"/>
        <v>-0.6133194854871018</v>
      </c>
      <c r="F974" s="304">
        <f t="shared" ca="1" si="445"/>
        <v>0.8943332387034667</v>
      </c>
      <c r="G974" s="306">
        <f t="shared" ca="1" si="446"/>
        <v>7.3856256126558835</v>
      </c>
      <c r="H974" s="307">
        <f t="shared" ca="1" si="447"/>
        <v>-104.3537415762123</v>
      </c>
      <c r="I974" s="304">
        <f t="shared" ca="1" si="448"/>
        <v>104.61477355825619</v>
      </c>
      <c r="J974" s="306">
        <f t="shared" ca="1" si="449"/>
        <v>839.7136314269211</v>
      </c>
      <c r="K974" s="307">
        <f t="shared" ca="1" si="450"/>
        <v>-5.4404786004398931</v>
      </c>
      <c r="L974" s="304">
        <f t="shared" ca="1" si="435"/>
        <v>839.73125558811307</v>
      </c>
      <c r="M974" s="306">
        <f t="shared" ca="1" si="451"/>
        <v>-1.500139245544857</v>
      </c>
      <c r="N974" s="304">
        <f t="shared" ca="1" si="452"/>
        <v>-85.951647451659795</v>
      </c>
      <c r="P974" s="310">
        <f t="shared" ca="1" si="453"/>
        <v>23</v>
      </c>
      <c r="Q974" s="304">
        <f t="shared" ca="1" si="454"/>
        <v>0</v>
      </c>
      <c r="R974" s="306">
        <f t="shared" ca="1" si="455"/>
        <v>0</v>
      </c>
      <c r="S974" s="307">
        <f t="shared" ca="1" si="456"/>
        <v>2.9792999999999985</v>
      </c>
      <c r="T974" s="304">
        <f t="shared" ca="1" si="436"/>
        <v>29.226932999999988</v>
      </c>
      <c r="U974" s="311">
        <f t="shared" ca="1" si="437"/>
        <v>0</v>
      </c>
      <c r="V974" s="306">
        <f t="shared" ca="1" si="438"/>
        <v>1.2256666399705789</v>
      </c>
      <c r="W974" s="304">
        <f t="shared" ca="1" si="439"/>
        <v>27.468267859540333</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0.56583623391988169</v>
      </c>
      <c r="AH974" s="304">
        <f t="shared" ca="1" si="463"/>
        <v>-9.2196856582311355</v>
      </c>
    </row>
    <row r="975" spans="1:34" x14ac:dyDescent="0.2">
      <c r="A975" s="347">
        <f t="shared" ca="1" si="441"/>
        <v>1E-4</v>
      </c>
      <c r="B975" s="304">
        <f t="shared" ca="1" si="442"/>
        <v>37.046700000001771</v>
      </c>
      <c r="D975" s="306">
        <f t="shared" ca="1" si="443"/>
        <v>-0.65089555652467135</v>
      </c>
      <c r="E975" s="307">
        <f t="shared" ca="1" si="444"/>
        <v>-0.61329950894234031</v>
      </c>
      <c r="F975" s="304">
        <f t="shared" ca="1" si="445"/>
        <v>0.89431611478966277</v>
      </c>
      <c r="G975" s="306">
        <f t="shared" ca="1" si="446"/>
        <v>7.3855605231002306</v>
      </c>
      <c r="H975" s="307">
        <f t="shared" ca="1" si="447"/>
        <v>-104.3538029061632</v>
      </c>
      <c r="I975" s="304">
        <f t="shared" ca="1" si="448"/>
        <v>104.6148301399889</v>
      </c>
      <c r="J975" s="306">
        <f t="shared" ca="1" si="449"/>
        <v>839.7136314269211</v>
      </c>
      <c r="K975" s="307">
        <f t="shared" ca="1" si="450"/>
        <v>-5.4509139776640119</v>
      </c>
      <c r="L975" s="304">
        <f t="shared" ca="1" si="435"/>
        <v>839.73132326201755</v>
      </c>
      <c r="M975" s="306">
        <f t="shared" ca="1" si="451"/>
        <v>-1.5001399075631998</v>
      </c>
      <c r="N975" s="304">
        <f t="shared" ca="1" si="452"/>
        <v>-85.9516853825168</v>
      </c>
      <c r="P975" s="310">
        <f t="shared" ca="1" si="453"/>
        <v>23</v>
      </c>
      <c r="Q975" s="304">
        <f t="shared" ca="1" si="454"/>
        <v>0</v>
      </c>
      <c r="R975" s="306">
        <f t="shared" ca="1" si="455"/>
        <v>0</v>
      </c>
      <c r="S975" s="307">
        <f t="shared" ca="1" si="456"/>
        <v>2.9792999999999985</v>
      </c>
      <c r="T975" s="304">
        <f t="shared" ca="1" si="436"/>
        <v>29.226932999999988</v>
      </c>
      <c r="U975" s="311">
        <f t="shared" ca="1" si="437"/>
        <v>0</v>
      </c>
      <c r="V975" s="306">
        <f t="shared" ca="1" si="438"/>
        <v>1.2256679190007147</v>
      </c>
      <c r="W975" s="304">
        <f t="shared" ca="1" si="439"/>
        <v>27.468326236632606</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0.56581709789384682</v>
      </c>
      <c r="AH975" s="304">
        <f t="shared" ca="1" si="463"/>
        <v>-9.2197052527574748</v>
      </c>
    </row>
    <row r="976" spans="1:34" x14ac:dyDescent="0.2">
      <c r="A976" s="347">
        <f t="shared" ca="1" si="441"/>
        <v>1E-4</v>
      </c>
      <c r="B976" s="304">
        <f t="shared" ca="1" si="442"/>
        <v>37.046800000001774</v>
      </c>
      <c r="D976" s="306">
        <f t="shared" ca="1" si="443"/>
        <v>-0.65089085144664927</v>
      </c>
      <c r="E976" s="307">
        <f t="shared" ca="1" si="444"/>
        <v>-0.61327953269868907</v>
      </c>
      <c r="F976" s="304">
        <f t="shared" ca="1" si="445"/>
        <v>0.89429899123507151</v>
      </c>
      <c r="G976" s="306">
        <f t="shared" ca="1" si="446"/>
        <v>7.3854954340150858</v>
      </c>
      <c r="H976" s="307">
        <f t="shared" ca="1" si="447"/>
        <v>-104.35386423411647</v>
      </c>
      <c r="I976" s="304">
        <f t="shared" ca="1" si="448"/>
        <v>104.61488671980806</v>
      </c>
      <c r="J976" s="306">
        <f t="shared" ca="1" si="449"/>
        <v>839.7136314269211</v>
      </c>
      <c r="K976" s="307">
        <f t="shared" ca="1" si="450"/>
        <v>-5.4613493610210258</v>
      </c>
      <c r="L976" s="304">
        <f t="shared" ca="1" si="435"/>
        <v>839.73139106563724</v>
      </c>
      <c r="M976" s="306">
        <f t="shared" ca="1" si="451"/>
        <v>-1.5001405695749919</v>
      </c>
      <c r="N976" s="304">
        <f t="shared" ca="1" si="452"/>
        <v>-85.951723312998467</v>
      </c>
      <c r="P976" s="310">
        <f t="shared" ca="1" si="453"/>
        <v>23</v>
      </c>
      <c r="Q976" s="304">
        <f t="shared" ca="1" si="454"/>
        <v>0</v>
      </c>
      <c r="R976" s="306">
        <f t="shared" ca="1" si="455"/>
        <v>0</v>
      </c>
      <c r="S976" s="307">
        <f t="shared" ca="1" si="456"/>
        <v>2.9792999999999985</v>
      </c>
      <c r="T976" s="304">
        <f t="shared" ca="1" si="436"/>
        <v>29.226932999999988</v>
      </c>
      <c r="U976" s="311">
        <f t="shared" ca="1" si="437"/>
        <v>0</v>
      </c>
      <c r="V976" s="306">
        <f t="shared" ca="1" si="438"/>
        <v>1.2256691980329375</v>
      </c>
      <c r="W976" s="304">
        <f t="shared" ca="1" si="439"/>
        <v>27.468384612844869</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0.56579796215437206</v>
      </c>
      <c r="AH976" s="304">
        <f t="shared" ca="1" si="463"/>
        <v>-9.2197248469884272</v>
      </c>
    </row>
    <row r="977" spans="1:34" x14ac:dyDescent="0.2">
      <c r="A977" s="347">
        <f t="shared" ca="1" si="441"/>
        <v>1E-4</v>
      </c>
      <c r="B977" s="304">
        <f t="shared" ca="1" si="442"/>
        <v>37.046900000001777</v>
      </c>
      <c r="D977" s="306">
        <f t="shared" ca="1" si="443"/>
        <v>-0.65088614638185616</v>
      </c>
      <c r="E977" s="307">
        <f t="shared" ca="1" si="444"/>
        <v>-0.61325955675614274</v>
      </c>
      <c r="F977" s="304">
        <f t="shared" ca="1" si="445"/>
        <v>0.89428186803969345</v>
      </c>
      <c r="G977" s="306">
        <f t="shared" ca="1" si="446"/>
        <v>7.3854303454004473</v>
      </c>
      <c r="H977" s="307">
        <f t="shared" ca="1" si="447"/>
        <v>-104.35392556007214</v>
      </c>
      <c r="I977" s="304">
        <f t="shared" ca="1" si="448"/>
        <v>104.61494329771364</v>
      </c>
      <c r="J977" s="306">
        <f t="shared" ca="1" si="449"/>
        <v>839.7136314269211</v>
      </c>
      <c r="K977" s="307">
        <f t="shared" ca="1" si="450"/>
        <v>-5.4717847505107349</v>
      </c>
      <c r="L977" s="304">
        <f t="shared" ca="1" si="435"/>
        <v>839.73145899897247</v>
      </c>
      <c r="M977" s="306">
        <f t="shared" ca="1" si="451"/>
        <v>-1.5001412315802338</v>
      </c>
      <c r="N977" s="304">
        <f t="shared" ca="1" si="452"/>
        <v>-85.951761243104841</v>
      </c>
      <c r="P977" s="310">
        <f t="shared" ca="1" si="453"/>
        <v>23</v>
      </c>
      <c r="Q977" s="304">
        <f t="shared" ca="1" si="454"/>
        <v>0</v>
      </c>
      <c r="R977" s="306">
        <f t="shared" ca="1" si="455"/>
        <v>0</v>
      </c>
      <c r="S977" s="307">
        <f t="shared" ca="1" si="456"/>
        <v>2.9792999999999985</v>
      </c>
      <c r="T977" s="304">
        <f t="shared" ca="1" si="436"/>
        <v>29.226932999999988</v>
      </c>
      <c r="U977" s="311">
        <f t="shared" ca="1" si="437"/>
        <v>0</v>
      </c>
      <c r="V977" s="306">
        <f t="shared" ca="1" si="438"/>
        <v>1.2256704770672471</v>
      </c>
      <c r="W977" s="304">
        <f t="shared" ca="1" si="439"/>
        <v>27.468442988177095</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0.56577882670144852</v>
      </c>
      <c r="AH977" s="304">
        <f t="shared" ca="1" si="463"/>
        <v>-9.2197444409240035</v>
      </c>
    </row>
    <row r="978" spans="1:34" x14ac:dyDescent="0.2">
      <c r="A978" s="347">
        <f t="shared" ca="1" si="441"/>
        <v>1E-4</v>
      </c>
      <c r="B978" s="304">
        <f t="shared" ca="1" si="442"/>
        <v>37.047000000001781</v>
      </c>
      <c r="D978" s="306">
        <f t="shared" ca="1" si="443"/>
        <v>-0.65088144133028625</v>
      </c>
      <c r="E978" s="307">
        <f t="shared" ca="1" si="444"/>
        <v>-0.61323958111470311</v>
      </c>
      <c r="F978" s="304">
        <f t="shared" ca="1" si="445"/>
        <v>0.89426474520352606</v>
      </c>
      <c r="G978" s="306">
        <f t="shared" ca="1" si="446"/>
        <v>7.3853652572563142</v>
      </c>
      <c r="H978" s="307">
        <f t="shared" ca="1" si="447"/>
        <v>-104.35398688403025</v>
      </c>
      <c r="I978" s="304">
        <f t="shared" ca="1" si="448"/>
        <v>104.61499987370571</v>
      </c>
      <c r="J978" s="306">
        <f t="shared" ca="1" si="449"/>
        <v>839.7136314269211</v>
      </c>
      <c r="K978" s="307">
        <f t="shared" ca="1" si="450"/>
        <v>-5.4822201461329403</v>
      </c>
      <c r="L978" s="304">
        <f t="shared" ca="1" si="435"/>
        <v>839.73152706202336</v>
      </c>
      <c r="M978" s="306">
        <f t="shared" ca="1" si="451"/>
        <v>-1.5001418935789252</v>
      </c>
      <c r="N978" s="304">
        <f t="shared" ca="1" si="452"/>
        <v>-85.951799172835905</v>
      </c>
      <c r="P978" s="310">
        <f t="shared" ca="1" si="453"/>
        <v>23</v>
      </c>
      <c r="Q978" s="304">
        <f t="shared" ca="1" si="454"/>
        <v>0</v>
      </c>
      <c r="R978" s="306">
        <f t="shared" ca="1" si="455"/>
        <v>0</v>
      </c>
      <c r="S978" s="307">
        <f t="shared" ca="1" si="456"/>
        <v>2.9792999999999985</v>
      </c>
      <c r="T978" s="304">
        <f t="shared" ca="1" si="436"/>
        <v>29.226932999999988</v>
      </c>
      <c r="U978" s="311">
        <f t="shared" ca="1" si="437"/>
        <v>0</v>
      </c>
      <c r="V978" s="306">
        <f t="shared" ca="1" si="438"/>
        <v>1.2256717561036434</v>
      </c>
      <c r="W978" s="304">
        <f t="shared" ca="1" si="439"/>
        <v>27.468501362629315</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0.5657596915350851</v>
      </c>
      <c r="AH978" s="304">
        <f t="shared" ca="1" si="463"/>
        <v>-9.2197640345641965</v>
      </c>
    </row>
    <row r="979" spans="1:34" x14ac:dyDescent="0.2">
      <c r="A979" s="347">
        <f t="shared" ca="1" si="441"/>
        <v>1E-4</v>
      </c>
      <c r="B979" s="304">
        <f t="shared" ca="1" si="442"/>
        <v>37.047100000001784</v>
      </c>
      <c r="D979" s="306">
        <f t="shared" ca="1" si="443"/>
        <v>-0.65087673629194542</v>
      </c>
      <c r="E979" s="307">
        <f t="shared" ca="1" si="444"/>
        <v>-0.61321960577436307</v>
      </c>
      <c r="F979" s="304">
        <f t="shared" ca="1" si="445"/>
        <v>0.89424762272656899</v>
      </c>
      <c r="G979" s="306">
        <f t="shared" ca="1" si="446"/>
        <v>7.3853001695826848</v>
      </c>
      <c r="H979" s="307">
        <f t="shared" ca="1" si="447"/>
        <v>-104.35404820599082</v>
      </c>
      <c r="I979" s="304">
        <f t="shared" ca="1" si="448"/>
        <v>104.61505644778428</v>
      </c>
      <c r="J979" s="306">
        <f t="shared" ca="1" si="449"/>
        <v>839.7136314269211</v>
      </c>
      <c r="K979" s="307">
        <f t="shared" ca="1" si="450"/>
        <v>-5.4926555478874413</v>
      </c>
      <c r="L979" s="304">
        <f t="shared" ca="1" si="435"/>
        <v>839.73159525479025</v>
      </c>
      <c r="M979" s="306">
        <f t="shared" ca="1" si="451"/>
        <v>-1.5001425555710666</v>
      </c>
      <c r="N979" s="304">
        <f t="shared" ca="1" si="452"/>
        <v>-85.951837102191675</v>
      </c>
      <c r="P979" s="310">
        <f t="shared" ca="1" si="453"/>
        <v>23</v>
      </c>
      <c r="Q979" s="304">
        <f t="shared" ca="1" si="454"/>
        <v>0</v>
      </c>
      <c r="R979" s="306">
        <f t="shared" ca="1" si="455"/>
        <v>0</v>
      </c>
      <c r="S979" s="307">
        <f t="shared" ca="1" si="456"/>
        <v>2.9792999999999985</v>
      </c>
      <c r="T979" s="304">
        <f t="shared" ca="1" si="436"/>
        <v>29.226932999999988</v>
      </c>
      <c r="U979" s="311">
        <f t="shared" ca="1" si="437"/>
        <v>0</v>
      </c>
      <c r="V979" s="306">
        <f t="shared" ca="1" si="438"/>
        <v>1.2256730351421268</v>
      </c>
      <c r="W979" s="304">
        <f t="shared" ca="1" si="439"/>
        <v>27.468559736201527</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0.56574055665526934</v>
      </c>
      <c r="AH979" s="304">
        <f t="shared" ca="1" si="463"/>
        <v>-9.2197836279090151</v>
      </c>
    </row>
    <row r="980" spans="1:34" x14ac:dyDescent="0.2">
      <c r="A980" s="347">
        <f t="shared" ca="1" si="441"/>
        <v>1E-4</v>
      </c>
      <c r="B980" s="304">
        <f t="shared" ca="1" si="442"/>
        <v>37.047200000001787</v>
      </c>
      <c r="D980" s="306">
        <f t="shared" ca="1" si="443"/>
        <v>-0.65087203126683046</v>
      </c>
      <c r="E980" s="307">
        <f t="shared" ca="1" si="444"/>
        <v>-0.61319963073512262</v>
      </c>
      <c r="F980" s="304">
        <f t="shared" ca="1" si="445"/>
        <v>0.89423050060881992</v>
      </c>
      <c r="G980" s="306">
        <f t="shared" ca="1" si="446"/>
        <v>7.3852350823795581</v>
      </c>
      <c r="H980" s="307">
        <f t="shared" ca="1" si="447"/>
        <v>-104.3541095259539</v>
      </c>
      <c r="I980" s="304">
        <f t="shared" ca="1" si="448"/>
        <v>104.61511301994943</v>
      </c>
      <c r="J980" s="306">
        <f t="shared" ca="1" si="449"/>
        <v>839.7136314269211</v>
      </c>
      <c r="K980" s="307">
        <f t="shared" ca="1" si="450"/>
        <v>-5.5030909557740388</v>
      </c>
      <c r="L980" s="304">
        <f t="shared" ca="1" si="435"/>
        <v>839.73166357727314</v>
      </c>
      <c r="M980" s="306">
        <f t="shared" ca="1" si="451"/>
        <v>-1.5001432175566578</v>
      </c>
      <c r="N980" s="304">
        <f t="shared" ca="1" si="452"/>
        <v>-85.95187503117215</v>
      </c>
      <c r="P980" s="310">
        <f t="shared" ca="1" si="453"/>
        <v>23</v>
      </c>
      <c r="Q980" s="304">
        <f t="shared" ca="1" si="454"/>
        <v>0</v>
      </c>
      <c r="R980" s="306">
        <f t="shared" ca="1" si="455"/>
        <v>0</v>
      </c>
      <c r="S980" s="307">
        <f t="shared" ca="1" si="456"/>
        <v>2.9792999999999985</v>
      </c>
      <c r="T980" s="304">
        <f t="shared" ca="1" si="436"/>
        <v>29.226932999999988</v>
      </c>
      <c r="U980" s="311">
        <f t="shared" ca="1" si="437"/>
        <v>0</v>
      </c>
      <c r="V980" s="306">
        <f t="shared" ca="1" si="438"/>
        <v>1.2256743141826967</v>
      </c>
      <c r="W980" s="304">
        <f t="shared" ca="1" si="439"/>
        <v>27.468618108893772</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0.56572142206200304</v>
      </c>
      <c r="AH980" s="304">
        <f t="shared" ca="1" si="463"/>
        <v>-9.2198032209584611</v>
      </c>
    </row>
    <row r="981" spans="1:34" x14ac:dyDescent="0.2">
      <c r="A981" s="347">
        <f t="shared" ca="1" si="441"/>
        <v>1E-4</v>
      </c>
      <c r="B981" s="304">
        <f t="shared" ca="1" si="442"/>
        <v>37.04730000000179</v>
      </c>
      <c r="D981" s="306">
        <f t="shared" ca="1" si="443"/>
        <v>-0.65086732625494337</v>
      </c>
      <c r="E981" s="307">
        <f t="shared" ca="1" si="444"/>
        <v>-0.61317965599696933</v>
      </c>
      <c r="F981" s="304">
        <f t="shared" ca="1" si="445"/>
        <v>0.8942133788502723</v>
      </c>
      <c r="G981" s="306">
        <f t="shared" ca="1" si="446"/>
        <v>7.3851699956469323</v>
      </c>
      <c r="H981" s="307">
        <f t="shared" ca="1" si="447"/>
        <v>-104.3541708439195</v>
      </c>
      <c r="I981" s="304">
        <f t="shared" ca="1" si="448"/>
        <v>104.61516959020113</v>
      </c>
      <c r="J981" s="306">
        <f t="shared" ca="1" si="449"/>
        <v>839.7136314269211</v>
      </c>
      <c r="K981" s="307">
        <f t="shared" ca="1" si="450"/>
        <v>-5.5135263697925323</v>
      </c>
      <c r="L981" s="304">
        <f t="shared" ca="1" si="435"/>
        <v>839.73173202947237</v>
      </c>
      <c r="M981" s="306">
        <f t="shared" ca="1" si="451"/>
        <v>-1.5001438795356987</v>
      </c>
      <c r="N981" s="304">
        <f t="shared" ca="1" si="452"/>
        <v>-85.951912959777317</v>
      </c>
      <c r="P981" s="310">
        <f t="shared" ca="1" si="453"/>
        <v>23</v>
      </c>
      <c r="Q981" s="304">
        <f t="shared" ca="1" si="454"/>
        <v>0</v>
      </c>
      <c r="R981" s="306">
        <f t="shared" ca="1" si="455"/>
        <v>0</v>
      </c>
      <c r="S981" s="307">
        <f t="shared" ca="1" si="456"/>
        <v>2.9792999999999985</v>
      </c>
      <c r="T981" s="304">
        <f t="shared" ca="1" si="436"/>
        <v>29.226932999999988</v>
      </c>
      <c r="U981" s="311">
        <f t="shared" ca="1" si="437"/>
        <v>0</v>
      </c>
      <c r="V981" s="306">
        <f t="shared" ca="1" si="438"/>
        <v>1.2256755932253529</v>
      </c>
      <c r="W981" s="304">
        <f t="shared" ca="1" si="439"/>
        <v>27.468676480706009</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0.56570228775527198</v>
      </c>
      <c r="AH981" s="304">
        <f t="shared" ca="1" si="463"/>
        <v>-9.2198228137125451</v>
      </c>
    </row>
    <row r="982" spans="1:34" x14ac:dyDescent="0.2">
      <c r="A982" s="347">
        <f t="shared" ca="1" si="441"/>
        <v>1E-4</v>
      </c>
      <c r="B982" s="304">
        <f t="shared" ca="1" si="442"/>
        <v>37.047400000001794</v>
      </c>
      <c r="D982" s="306">
        <f t="shared" ca="1" si="443"/>
        <v>-0.65086262125628636</v>
      </c>
      <c r="E982" s="307">
        <f t="shared" ca="1" si="444"/>
        <v>-0.61315968155991207</v>
      </c>
      <c r="F982" s="304">
        <f t="shared" ca="1" si="445"/>
        <v>0.8941962574509339</v>
      </c>
      <c r="G982" s="306">
        <f t="shared" ca="1" si="446"/>
        <v>7.3851049093848067</v>
      </c>
      <c r="H982" s="307">
        <f t="shared" ca="1" si="447"/>
        <v>-104.35423215988766</v>
      </c>
      <c r="I982" s="304">
        <f t="shared" ca="1" si="448"/>
        <v>104.61522615853943</v>
      </c>
      <c r="J982" s="306">
        <f t="shared" ca="1" si="449"/>
        <v>839.7136314269211</v>
      </c>
      <c r="K982" s="307">
        <f t="shared" ca="1" si="450"/>
        <v>-5.5239617899427227</v>
      </c>
      <c r="L982" s="304">
        <f t="shared" ca="1" si="435"/>
        <v>839.73180061138805</v>
      </c>
      <c r="M982" s="306">
        <f t="shared" ca="1" si="451"/>
        <v>-1.5001445415081898</v>
      </c>
      <c r="N982" s="304">
        <f t="shared" ca="1" si="452"/>
        <v>-85.951950888007218</v>
      </c>
      <c r="P982" s="310">
        <f t="shared" ca="1" si="453"/>
        <v>23</v>
      </c>
      <c r="Q982" s="304">
        <f t="shared" ca="1" si="454"/>
        <v>0</v>
      </c>
      <c r="R982" s="306">
        <f t="shared" ca="1" si="455"/>
        <v>0</v>
      </c>
      <c r="S982" s="307">
        <f t="shared" ca="1" si="456"/>
        <v>2.9792999999999985</v>
      </c>
      <c r="T982" s="304">
        <f t="shared" ca="1" si="436"/>
        <v>29.226932999999988</v>
      </c>
      <c r="U982" s="311">
        <f t="shared" ca="1" si="437"/>
        <v>0</v>
      </c>
      <c r="V982" s="306">
        <f t="shared" ca="1" si="438"/>
        <v>1.2256768722700959</v>
      </c>
      <c r="W982" s="304">
        <f t="shared" ca="1" si="439"/>
        <v>27.468734851638281</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0.56568315373509215</v>
      </c>
      <c r="AH982" s="304">
        <f t="shared" ca="1" si="463"/>
        <v>-9.2198424061712565</v>
      </c>
    </row>
    <row r="983" spans="1:34" x14ac:dyDescent="0.2">
      <c r="A983" s="347">
        <f t="shared" ca="1" si="441"/>
        <v>1E-4</v>
      </c>
      <c r="B983" s="304">
        <f t="shared" ca="1" si="442"/>
        <v>37.047500000001797</v>
      </c>
      <c r="D983" s="306">
        <f t="shared" ca="1" si="443"/>
        <v>-0.6508579162708571</v>
      </c>
      <c r="E983" s="307">
        <f t="shared" ca="1" si="444"/>
        <v>-0.61313970742394197</v>
      </c>
      <c r="F983" s="304">
        <f t="shared" ca="1" si="445"/>
        <v>0.89417913641079727</v>
      </c>
      <c r="G983" s="306">
        <f t="shared" ca="1" si="446"/>
        <v>7.3850398235931793</v>
      </c>
      <c r="H983" s="307">
        <f t="shared" ca="1" si="447"/>
        <v>-104.35429347385841</v>
      </c>
      <c r="I983" s="304">
        <f t="shared" ca="1" si="448"/>
        <v>104.61528272496435</v>
      </c>
      <c r="J983" s="306">
        <f t="shared" ca="1" si="449"/>
        <v>839.7136314269211</v>
      </c>
      <c r="K983" s="307">
        <f t="shared" ca="1" si="450"/>
        <v>-5.5343972162244102</v>
      </c>
      <c r="L983" s="304">
        <f t="shared" ca="1" si="435"/>
        <v>839.73186932302031</v>
      </c>
      <c r="M983" s="306">
        <f t="shared" ca="1" si="451"/>
        <v>-1.5001452034741312</v>
      </c>
      <c r="N983" s="304">
        <f t="shared" ca="1" si="452"/>
        <v>-85.951988815861839</v>
      </c>
      <c r="P983" s="310">
        <f t="shared" ca="1" si="453"/>
        <v>23</v>
      </c>
      <c r="Q983" s="304">
        <f t="shared" ca="1" si="454"/>
        <v>0</v>
      </c>
      <c r="R983" s="306">
        <f t="shared" ca="1" si="455"/>
        <v>0</v>
      </c>
      <c r="S983" s="307">
        <f t="shared" ca="1" si="456"/>
        <v>2.9792999999999985</v>
      </c>
      <c r="T983" s="304">
        <f t="shared" ca="1" si="436"/>
        <v>29.226932999999988</v>
      </c>
      <c r="U983" s="311">
        <f t="shared" ca="1" si="437"/>
        <v>0</v>
      </c>
      <c r="V983" s="306">
        <f t="shared" ca="1" si="438"/>
        <v>1.2256781513169255</v>
      </c>
      <c r="W983" s="304">
        <f t="shared" ca="1" si="439"/>
        <v>27.468793221690589</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0.56566402000144578</v>
      </c>
      <c r="AH983" s="304">
        <f t="shared" ca="1" si="463"/>
        <v>-9.2198619983346077</v>
      </c>
    </row>
    <row r="984" spans="1:34" x14ac:dyDescent="0.2">
      <c r="A984" s="347">
        <f t="shared" ca="1" si="441"/>
        <v>1E-4</v>
      </c>
      <c r="B984" s="304">
        <f t="shared" ca="1" si="442"/>
        <v>37.0476000000018</v>
      </c>
      <c r="D984" s="306">
        <f t="shared" ca="1" si="443"/>
        <v>-0.65085321129865459</v>
      </c>
      <c r="E984" s="307">
        <f t="shared" ca="1" si="444"/>
        <v>-0.61311973358905725</v>
      </c>
      <c r="F984" s="304">
        <f t="shared" ca="1" si="445"/>
        <v>0.89416201572986065</v>
      </c>
      <c r="G984" s="306">
        <f t="shared" ca="1" si="446"/>
        <v>7.3849747382720494</v>
      </c>
      <c r="H984" s="307">
        <f t="shared" ca="1" si="447"/>
        <v>-104.35435478583176</v>
      </c>
      <c r="I984" s="304">
        <f t="shared" ca="1" si="448"/>
        <v>104.61533928947593</v>
      </c>
      <c r="J984" s="306">
        <f t="shared" ca="1" si="449"/>
        <v>839.7136314269211</v>
      </c>
      <c r="K984" s="307">
        <f t="shared" ca="1" si="450"/>
        <v>-5.5448326486373949</v>
      </c>
      <c r="L984" s="304">
        <f t="shared" ca="1" si="435"/>
        <v>839.73193816436947</v>
      </c>
      <c r="M984" s="306">
        <f t="shared" ca="1" si="451"/>
        <v>-1.5001458654335225</v>
      </c>
      <c r="N984" s="304">
        <f t="shared" ca="1" si="452"/>
        <v>-85.952026743341165</v>
      </c>
      <c r="P984" s="310">
        <f t="shared" ca="1" si="453"/>
        <v>23</v>
      </c>
      <c r="Q984" s="304">
        <f t="shared" ca="1" si="454"/>
        <v>0</v>
      </c>
      <c r="R984" s="306">
        <f t="shared" ca="1" si="455"/>
        <v>0</v>
      </c>
      <c r="S984" s="307">
        <f t="shared" ca="1" si="456"/>
        <v>2.9792999999999985</v>
      </c>
      <c r="T984" s="304">
        <f t="shared" ca="1" si="436"/>
        <v>29.226932999999988</v>
      </c>
      <c r="U984" s="311">
        <f t="shared" ca="1" si="437"/>
        <v>0</v>
      </c>
      <c r="V984" s="306">
        <f t="shared" ca="1" si="438"/>
        <v>1.2256794303658418</v>
      </c>
      <c r="W984" s="304">
        <f t="shared" ca="1" si="439"/>
        <v>27.468851590862954</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0.56564488655433642</v>
      </c>
      <c r="AH984" s="304">
        <f t="shared" ca="1" si="463"/>
        <v>-9.2198815902025988</v>
      </c>
    </row>
    <row r="985" spans="1:34" x14ac:dyDescent="0.2">
      <c r="A985" s="347">
        <f t="shared" ca="1" si="441"/>
        <v>1E-4</v>
      </c>
      <c r="B985" s="304">
        <f t="shared" ca="1" si="442"/>
        <v>37.047700000001804</v>
      </c>
      <c r="D985" s="306">
        <f t="shared" ca="1" si="443"/>
        <v>-0.6508485063396845</v>
      </c>
      <c r="E985" s="307">
        <f t="shared" ca="1" si="444"/>
        <v>-0.61309976005524724</v>
      </c>
      <c r="F985" s="304">
        <f t="shared" ca="1" si="445"/>
        <v>0.89414489540812125</v>
      </c>
      <c r="G985" s="306">
        <f t="shared" ca="1" si="446"/>
        <v>7.3849096534214151</v>
      </c>
      <c r="H985" s="307">
        <f t="shared" ca="1" si="447"/>
        <v>-104.35441609580776</v>
      </c>
      <c r="I985" s="304">
        <f t="shared" ca="1" si="448"/>
        <v>104.61539585207417</v>
      </c>
      <c r="J985" s="306">
        <f t="shared" ca="1" si="449"/>
        <v>839.7136314269211</v>
      </c>
      <c r="K985" s="307">
        <f t="shared" ca="1" si="450"/>
        <v>-5.555268087181477</v>
      </c>
      <c r="L985" s="304">
        <f t="shared" ca="1" si="435"/>
        <v>839.73200713543577</v>
      </c>
      <c r="M985" s="306">
        <f t="shared" ca="1" si="451"/>
        <v>-1.5001465273863641</v>
      </c>
      <c r="N985" s="304">
        <f t="shared" ca="1" si="452"/>
        <v>-85.952064670445225</v>
      </c>
      <c r="P985" s="310">
        <f t="shared" ca="1" si="453"/>
        <v>23</v>
      </c>
      <c r="Q985" s="304">
        <f t="shared" ca="1" si="454"/>
        <v>0</v>
      </c>
      <c r="R985" s="306">
        <f t="shared" ca="1" si="455"/>
        <v>0</v>
      </c>
      <c r="S985" s="307">
        <f t="shared" ca="1" si="456"/>
        <v>2.9792999999999985</v>
      </c>
      <c r="T985" s="304">
        <f t="shared" ca="1" si="436"/>
        <v>29.226932999999988</v>
      </c>
      <c r="U985" s="311">
        <f t="shared" ca="1" si="437"/>
        <v>0</v>
      </c>
      <c r="V985" s="306">
        <f t="shared" ca="1" si="438"/>
        <v>1.2256807094168447</v>
      </c>
      <c r="W985" s="304">
        <f t="shared" ca="1" si="439"/>
        <v>27.468909959155358</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0.5656257533937552</v>
      </c>
      <c r="AH985" s="304">
        <f t="shared" ca="1" si="463"/>
        <v>-9.2199011817752385</v>
      </c>
    </row>
    <row r="986" spans="1:34" x14ac:dyDescent="0.2">
      <c r="A986" s="347">
        <f t="shared" ca="1" si="441"/>
        <v>1E-4</v>
      </c>
      <c r="B986" s="304">
        <f t="shared" ca="1" si="442"/>
        <v>37.047800000001807</v>
      </c>
      <c r="D986" s="306">
        <f t="shared" ca="1" si="443"/>
        <v>-0.65084380139394316</v>
      </c>
      <c r="E986" s="307">
        <f t="shared" ca="1" si="444"/>
        <v>-0.61307978682252262</v>
      </c>
      <c r="F986" s="304">
        <f t="shared" ca="1" si="445"/>
        <v>0.89412777544558375</v>
      </c>
      <c r="G986" s="306">
        <f t="shared" ca="1" si="446"/>
        <v>7.3848445690412756</v>
      </c>
      <c r="H986" s="307">
        <f t="shared" ca="1" si="447"/>
        <v>-104.35447740378645</v>
      </c>
      <c r="I986" s="304">
        <f t="shared" ca="1" si="448"/>
        <v>104.61545241275915</v>
      </c>
      <c r="J986" s="306">
        <f t="shared" ca="1" si="449"/>
        <v>839.7136314269211</v>
      </c>
      <c r="K986" s="307">
        <f t="shared" ca="1" si="450"/>
        <v>-5.5657035318564567</v>
      </c>
      <c r="L986" s="304">
        <f t="shared" ca="1" si="435"/>
        <v>839.73207623621931</v>
      </c>
      <c r="M986" s="306">
        <f t="shared" ca="1" si="451"/>
        <v>-1.5001471893326559</v>
      </c>
      <c r="N986" s="304">
        <f t="shared" ca="1" si="452"/>
        <v>-85.952102597174019</v>
      </c>
      <c r="P986" s="310">
        <f t="shared" ca="1" si="453"/>
        <v>23</v>
      </c>
      <c r="Q986" s="304">
        <f t="shared" ca="1" si="454"/>
        <v>0</v>
      </c>
      <c r="R986" s="306">
        <f t="shared" ca="1" si="455"/>
        <v>0</v>
      </c>
      <c r="S986" s="307">
        <f t="shared" ca="1" si="456"/>
        <v>2.9792999999999985</v>
      </c>
      <c r="T986" s="304">
        <f t="shared" ca="1" si="436"/>
        <v>29.226932999999988</v>
      </c>
      <c r="U986" s="311">
        <f t="shared" ca="1" si="437"/>
        <v>0</v>
      </c>
      <c r="V986" s="306">
        <f t="shared" ca="1" si="438"/>
        <v>1.2256819884699346</v>
      </c>
      <c r="W986" s="304">
        <f t="shared" ca="1" si="439"/>
        <v>27.468968326567865</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0.56560662051970922</v>
      </c>
      <c r="AH986" s="304">
        <f t="shared" ca="1" si="463"/>
        <v>-9.2199207730525199</v>
      </c>
    </row>
    <row r="987" spans="1:34" x14ac:dyDescent="0.2">
      <c r="A987" s="347">
        <f t="shared" ca="1" si="441"/>
        <v>1E-4</v>
      </c>
      <c r="B987" s="304">
        <f t="shared" ca="1" si="442"/>
        <v>37.04790000000181</v>
      </c>
      <c r="D987" s="306">
        <f t="shared" ca="1" si="443"/>
        <v>-0.65083909646143512</v>
      </c>
      <c r="E987" s="307">
        <f t="shared" ca="1" si="444"/>
        <v>-0.61305981389086028</v>
      </c>
      <c r="F987" s="304">
        <f t="shared" ca="1" si="445"/>
        <v>0.89411065584223604</v>
      </c>
      <c r="G987" s="306">
        <f t="shared" ca="1" si="446"/>
        <v>7.3847794851316291</v>
      </c>
      <c r="H987" s="307">
        <f t="shared" ca="1" si="447"/>
        <v>-104.35453870976784</v>
      </c>
      <c r="I987" s="304">
        <f t="shared" ca="1" si="448"/>
        <v>104.61550897153087</v>
      </c>
      <c r="J987" s="306">
        <f t="shared" ca="1" si="449"/>
        <v>839.7136314269211</v>
      </c>
      <c r="K987" s="307">
        <f t="shared" ca="1" si="450"/>
        <v>-5.5761389826621341</v>
      </c>
      <c r="L987" s="304">
        <f t="shared" ca="1" si="435"/>
        <v>839.73214546672023</v>
      </c>
      <c r="M987" s="306">
        <f t="shared" ca="1" si="451"/>
        <v>-1.5001478512723982</v>
      </c>
      <c r="N987" s="304">
        <f t="shared" ca="1" si="452"/>
        <v>-85.952140523527547</v>
      </c>
      <c r="P987" s="310">
        <f t="shared" ca="1" si="453"/>
        <v>23</v>
      </c>
      <c r="Q987" s="304">
        <f t="shared" ca="1" si="454"/>
        <v>0</v>
      </c>
      <c r="R987" s="306">
        <f t="shared" ca="1" si="455"/>
        <v>0</v>
      </c>
      <c r="S987" s="307">
        <f t="shared" ca="1" si="456"/>
        <v>2.9792999999999985</v>
      </c>
      <c r="T987" s="304">
        <f t="shared" ca="1" si="436"/>
        <v>29.226932999999988</v>
      </c>
      <c r="U987" s="311">
        <f t="shared" ca="1" si="437"/>
        <v>0</v>
      </c>
      <c r="V987" s="306">
        <f t="shared" ca="1" si="438"/>
        <v>1.2256832675251104</v>
      </c>
      <c r="W987" s="304">
        <f t="shared" ca="1" si="439"/>
        <v>27.469026693100421</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0.56558748793217362</v>
      </c>
      <c r="AH987" s="304">
        <f t="shared" ca="1" si="463"/>
        <v>-9.2199403640344642</v>
      </c>
    </row>
    <row r="988" spans="1:34" x14ac:dyDescent="0.2">
      <c r="A988" s="347">
        <f t="shared" ca="1" si="441"/>
        <v>1E-4</v>
      </c>
      <c r="B988" s="304">
        <f t="shared" ca="1" si="442"/>
        <v>37.048000000001814</v>
      </c>
      <c r="D988" s="306">
        <f t="shared" ca="1" si="443"/>
        <v>-0.65083439154215617</v>
      </c>
      <c r="E988" s="307">
        <f t="shared" ca="1" si="444"/>
        <v>-0.61303984126027622</v>
      </c>
      <c r="F988" s="304">
        <f t="shared" ca="1" si="445"/>
        <v>0.89409353659808621</v>
      </c>
      <c r="G988" s="306">
        <f t="shared" ca="1" si="446"/>
        <v>7.3847144016924746</v>
      </c>
      <c r="H988" s="307">
        <f t="shared" ca="1" si="447"/>
        <v>-104.35460001375196</v>
      </c>
      <c r="I988" s="304">
        <f t="shared" ca="1" si="448"/>
        <v>104.61556552838934</v>
      </c>
      <c r="J988" s="306">
        <f t="shared" ca="1" si="449"/>
        <v>839.7136314269211</v>
      </c>
      <c r="K988" s="307">
        <f t="shared" ca="1" si="450"/>
        <v>-5.5865744395983103</v>
      </c>
      <c r="L988" s="304">
        <f t="shared" ca="1" si="435"/>
        <v>839.73221482693896</v>
      </c>
      <c r="M988" s="306">
        <f t="shared" ca="1" si="451"/>
        <v>-1.5001485132055912</v>
      </c>
      <c r="N988" s="304">
        <f t="shared" ca="1" si="452"/>
        <v>-85.952178449505823</v>
      </c>
      <c r="P988" s="310">
        <f t="shared" ca="1" si="453"/>
        <v>23</v>
      </c>
      <c r="Q988" s="304">
        <f t="shared" ca="1" si="454"/>
        <v>0</v>
      </c>
      <c r="R988" s="306">
        <f t="shared" ca="1" si="455"/>
        <v>0</v>
      </c>
      <c r="S988" s="307">
        <f t="shared" ca="1" si="456"/>
        <v>2.9792999999999985</v>
      </c>
      <c r="T988" s="304">
        <f t="shared" ca="1" si="436"/>
        <v>29.226932999999988</v>
      </c>
      <c r="U988" s="311">
        <f t="shared" ca="1" si="437"/>
        <v>0</v>
      </c>
      <c r="V988" s="306">
        <f t="shared" ca="1" si="438"/>
        <v>1.2256845465823731</v>
      </c>
      <c r="W988" s="304">
        <f t="shared" ca="1" si="439"/>
        <v>27.469085058753077</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0.56556835563117325</v>
      </c>
      <c r="AH988" s="304">
        <f t="shared" ca="1" si="463"/>
        <v>-9.2199599547210536</v>
      </c>
    </row>
    <row r="989" spans="1:34" x14ac:dyDescent="0.2">
      <c r="A989" s="347">
        <f t="shared" ca="1" si="441"/>
        <v>1E-4</v>
      </c>
      <c r="B989" s="304">
        <f t="shared" ca="1" si="442"/>
        <v>37.048100000001817</v>
      </c>
      <c r="D989" s="306">
        <f t="shared" ca="1" si="443"/>
        <v>-0.6508296866361083</v>
      </c>
      <c r="E989" s="307">
        <f t="shared" ca="1" si="444"/>
        <v>-0.61301986893075622</v>
      </c>
      <c r="F989" s="304">
        <f t="shared" ca="1" si="445"/>
        <v>0.89407641771312618</v>
      </c>
      <c r="G989" s="306">
        <f t="shared" ca="1" si="446"/>
        <v>7.3846493187238114</v>
      </c>
      <c r="H989" s="307">
        <f t="shared" ca="1" si="447"/>
        <v>-104.35466131573885</v>
      </c>
      <c r="I989" s="304">
        <f t="shared" ca="1" si="448"/>
        <v>104.61562208333463</v>
      </c>
      <c r="J989" s="306">
        <f t="shared" ca="1" si="449"/>
        <v>839.7136314269211</v>
      </c>
      <c r="K989" s="307">
        <f t="shared" ca="1" si="450"/>
        <v>-5.5970099026647846</v>
      </c>
      <c r="L989" s="304">
        <f t="shared" ca="1" si="435"/>
        <v>839.73228431687539</v>
      </c>
      <c r="M989" s="306">
        <f t="shared" ca="1" si="451"/>
        <v>-1.5001491751322347</v>
      </c>
      <c r="N989" s="304">
        <f t="shared" ca="1" si="452"/>
        <v>-85.952216375108833</v>
      </c>
      <c r="P989" s="310">
        <f t="shared" ca="1" si="453"/>
        <v>23</v>
      </c>
      <c r="Q989" s="304">
        <f t="shared" ca="1" si="454"/>
        <v>0</v>
      </c>
      <c r="R989" s="306">
        <f t="shared" ca="1" si="455"/>
        <v>0</v>
      </c>
      <c r="S989" s="307">
        <f t="shared" ca="1" si="456"/>
        <v>2.9792999999999985</v>
      </c>
      <c r="T989" s="304">
        <f t="shared" ca="1" si="436"/>
        <v>29.226932999999988</v>
      </c>
      <c r="U989" s="311">
        <f t="shared" ca="1" si="437"/>
        <v>0</v>
      </c>
      <c r="V989" s="306">
        <f t="shared" ca="1" si="438"/>
        <v>1.2256858256417218</v>
      </c>
      <c r="W989" s="304">
        <f t="shared" ca="1" si="439"/>
        <v>27.469143423525828</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0.56554922361668503</v>
      </c>
      <c r="AH989" s="304">
        <f t="shared" ca="1" si="463"/>
        <v>-9.2199795451123059</v>
      </c>
    </row>
    <row r="990" spans="1:34" x14ac:dyDescent="0.2">
      <c r="A990" s="347">
        <f t="shared" ca="1" si="441"/>
        <v>1E-4</v>
      </c>
      <c r="B990" s="304">
        <f t="shared" ca="1" si="442"/>
        <v>37.04820000000182</v>
      </c>
      <c r="D990" s="306">
        <f t="shared" ca="1" si="443"/>
        <v>-0.6508249817432924</v>
      </c>
      <c r="E990" s="307">
        <f t="shared" ca="1" si="444"/>
        <v>-0.6129998969022985</v>
      </c>
      <c r="F990" s="304">
        <f t="shared" ca="1" si="445"/>
        <v>0.89405929918735561</v>
      </c>
      <c r="G990" s="306">
        <f t="shared" ca="1" si="446"/>
        <v>7.3845842362256366</v>
      </c>
      <c r="H990" s="307">
        <f t="shared" ca="1" si="447"/>
        <v>-104.35472261572855</v>
      </c>
      <c r="I990" s="304">
        <f t="shared" ca="1" si="448"/>
        <v>104.61567863636674</v>
      </c>
      <c r="J990" s="306">
        <f t="shared" ca="1" si="449"/>
        <v>839.7136314269211</v>
      </c>
      <c r="K990" s="307">
        <f t="shared" ca="1" si="450"/>
        <v>-5.6074453718613579</v>
      </c>
      <c r="L990" s="304">
        <f t="shared" ca="1" si="435"/>
        <v>839.73235393652988</v>
      </c>
      <c r="M990" s="306">
        <f t="shared" ca="1" si="451"/>
        <v>-1.5001498370523287</v>
      </c>
      <c r="N990" s="304">
        <f t="shared" ca="1" si="452"/>
        <v>-85.952254300336605</v>
      </c>
      <c r="P990" s="310">
        <f t="shared" ca="1" si="453"/>
        <v>23</v>
      </c>
      <c r="Q990" s="304">
        <f t="shared" ca="1" si="454"/>
        <v>0</v>
      </c>
      <c r="R990" s="306">
        <f t="shared" ca="1" si="455"/>
        <v>0</v>
      </c>
      <c r="S990" s="307">
        <f t="shared" ca="1" si="456"/>
        <v>2.9792999999999985</v>
      </c>
      <c r="T990" s="304">
        <f t="shared" ca="1" si="436"/>
        <v>29.226932999999988</v>
      </c>
      <c r="U990" s="311">
        <f t="shared" ca="1" si="437"/>
        <v>0</v>
      </c>
      <c r="V990" s="306">
        <f t="shared" ca="1" si="438"/>
        <v>1.2256871047031574</v>
      </c>
      <c r="W990" s="304">
        <f t="shared" ca="1" si="439"/>
        <v>27.469201787418687</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0.56553009188871428</v>
      </c>
      <c r="AH990" s="304">
        <f t="shared" ca="1" si="463"/>
        <v>-9.2199991352082176</v>
      </c>
    </row>
    <row r="991" spans="1:34" x14ac:dyDescent="0.2">
      <c r="A991" s="347">
        <f t="shared" ca="1" si="441"/>
        <v>1E-4</v>
      </c>
      <c r="B991" s="304">
        <f t="shared" ca="1" si="442"/>
        <v>37.048300000001824</v>
      </c>
      <c r="D991" s="306">
        <f t="shared" ca="1" si="443"/>
        <v>-0.6508202768637098</v>
      </c>
      <c r="E991" s="307">
        <f t="shared" ca="1" si="444"/>
        <v>-0.61297992517490485</v>
      </c>
      <c r="F991" s="304">
        <f t="shared" ca="1" si="445"/>
        <v>0.89404218102077704</v>
      </c>
      <c r="G991" s="306">
        <f t="shared" ca="1" si="446"/>
        <v>7.3845191541979505</v>
      </c>
      <c r="H991" s="307">
        <f t="shared" ca="1" si="447"/>
        <v>-104.35478391372106</v>
      </c>
      <c r="I991" s="304">
        <f t="shared" ca="1" si="448"/>
        <v>104.6157351874857</v>
      </c>
      <c r="J991" s="306">
        <f t="shared" ca="1" si="449"/>
        <v>839.7136314269211</v>
      </c>
      <c r="K991" s="307">
        <f t="shared" ca="1" si="450"/>
        <v>-5.6178808471878305</v>
      </c>
      <c r="L991" s="304">
        <f t="shared" ca="1" si="435"/>
        <v>839.73242368590263</v>
      </c>
      <c r="M991" s="306">
        <f t="shared" ca="1" si="451"/>
        <v>-1.5001504989658736</v>
      </c>
      <c r="N991" s="304">
        <f t="shared" ca="1" si="452"/>
        <v>-85.952292225189126</v>
      </c>
      <c r="P991" s="310">
        <f t="shared" ca="1" si="453"/>
        <v>23</v>
      </c>
      <c r="Q991" s="304">
        <f t="shared" ca="1" si="454"/>
        <v>0</v>
      </c>
      <c r="R991" s="306">
        <f t="shared" ca="1" si="455"/>
        <v>0</v>
      </c>
      <c r="S991" s="307">
        <f t="shared" ca="1" si="456"/>
        <v>2.9792999999999985</v>
      </c>
      <c r="T991" s="304">
        <f t="shared" ca="1" si="436"/>
        <v>29.226932999999988</v>
      </c>
      <c r="U991" s="311">
        <f t="shared" ca="1" si="437"/>
        <v>0</v>
      </c>
      <c r="V991" s="306">
        <f t="shared" ca="1" si="438"/>
        <v>1.2256883837666797</v>
      </c>
      <c r="W991" s="304">
        <f t="shared" ca="1" si="439"/>
        <v>27.469260150431673</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0.56551096044725746</v>
      </c>
      <c r="AH991" s="304">
        <f t="shared" ca="1" si="463"/>
        <v>-9.2200187250087939</v>
      </c>
    </row>
    <row r="992" spans="1:34" x14ac:dyDescent="0.2">
      <c r="A992" s="347">
        <f t="shared" ca="1" si="441"/>
        <v>1E-4</v>
      </c>
      <c r="B992" s="304">
        <f t="shared" ca="1" si="442"/>
        <v>37.048400000001827</v>
      </c>
      <c r="D992" s="306">
        <f t="shared" ca="1" si="443"/>
        <v>-0.65081557199735995</v>
      </c>
      <c r="E992" s="307">
        <f t="shared" ca="1" si="444"/>
        <v>-0.61295995374856105</v>
      </c>
      <c r="F992" s="304">
        <f t="shared" ca="1" si="445"/>
        <v>0.89402506321338038</v>
      </c>
      <c r="G992" s="306">
        <f t="shared" ca="1" si="446"/>
        <v>7.384454072640751</v>
      </c>
      <c r="H992" s="307">
        <f t="shared" ca="1" si="447"/>
        <v>-104.35484520971644</v>
      </c>
      <c r="I992" s="304">
        <f t="shared" ca="1" si="448"/>
        <v>104.61579173669155</v>
      </c>
      <c r="J992" s="306">
        <f t="shared" ca="1" si="449"/>
        <v>839.7136314269211</v>
      </c>
      <c r="K992" s="307">
        <f t="shared" ca="1" si="450"/>
        <v>-5.6283163286440026</v>
      </c>
      <c r="L992" s="304">
        <f t="shared" ca="1" si="435"/>
        <v>839.73249356499377</v>
      </c>
      <c r="M992" s="306">
        <f t="shared" ca="1" si="451"/>
        <v>-1.500151160872869</v>
      </c>
      <c r="N992" s="304">
        <f t="shared" ca="1" si="452"/>
        <v>-85.952330149666395</v>
      </c>
      <c r="P992" s="310">
        <f t="shared" ca="1" si="453"/>
        <v>23</v>
      </c>
      <c r="Q992" s="304">
        <f t="shared" ca="1" si="454"/>
        <v>0</v>
      </c>
      <c r="R992" s="306">
        <f t="shared" ca="1" si="455"/>
        <v>0</v>
      </c>
      <c r="S992" s="307">
        <f t="shared" ca="1" si="456"/>
        <v>2.9792999999999985</v>
      </c>
      <c r="T992" s="304">
        <f t="shared" ca="1" si="436"/>
        <v>29.226932999999988</v>
      </c>
      <c r="U992" s="311">
        <f t="shared" ca="1" si="437"/>
        <v>0</v>
      </c>
      <c r="V992" s="306">
        <f t="shared" ca="1" si="438"/>
        <v>1.225689662832288</v>
      </c>
      <c r="W992" s="304">
        <f t="shared" ca="1" si="439"/>
        <v>27.469318512564783</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0.56549182929230746</v>
      </c>
      <c r="AH992" s="304">
        <f t="shared" ca="1" si="463"/>
        <v>-9.2200383145140421</v>
      </c>
    </row>
    <row r="993" spans="1:34" x14ac:dyDescent="0.2">
      <c r="A993" s="347">
        <f t="shared" ca="1" si="441"/>
        <v>1E-4</v>
      </c>
      <c r="B993" s="304">
        <f t="shared" ca="1" si="442"/>
        <v>37.04850000000183</v>
      </c>
      <c r="D993" s="306">
        <f t="shared" ca="1" si="443"/>
        <v>-0.65081086714424574</v>
      </c>
      <c r="E993" s="307">
        <f t="shared" ca="1" si="444"/>
        <v>-0.61293998262327243</v>
      </c>
      <c r="F993" s="304">
        <f t="shared" ca="1" si="445"/>
        <v>0.89400794576517195</v>
      </c>
      <c r="G993" s="306">
        <f t="shared" ca="1" si="446"/>
        <v>7.3843889915540366</v>
      </c>
      <c r="H993" s="307">
        <f t="shared" ca="1" si="447"/>
        <v>-104.3549065037147</v>
      </c>
      <c r="I993" s="304">
        <f t="shared" ca="1" si="448"/>
        <v>104.61584828398431</v>
      </c>
      <c r="J993" s="306">
        <f t="shared" ca="1" si="449"/>
        <v>839.7136314269211</v>
      </c>
      <c r="K993" s="307">
        <f t="shared" ca="1" si="450"/>
        <v>-5.6387518162296741</v>
      </c>
      <c r="L993" s="304">
        <f t="shared" ca="1" si="435"/>
        <v>839.73256357380365</v>
      </c>
      <c r="M993" s="306">
        <f t="shared" ca="1" si="451"/>
        <v>-1.5001518227733157</v>
      </c>
      <c r="N993" s="304">
        <f t="shared" ca="1" si="452"/>
        <v>-85.95236807376844</v>
      </c>
      <c r="P993" s="310">
        <f t="shared" ca="1" si="453"/>
        <v>23</v>
      </c>
      <c r="Q993" s="304">
        <f t="shared" ca="1" si="454"/>
        <v>0</v>
      </c>
      <c r="R993" s="306">
        <f t="shared" ca="1" si="455"/>
        <v>0</v>
      </c>
      <c r="S993" s="307">
        <f t="shared" ca="1" si="456"/>
        <v>2.9792999999999985</v>
      </c>
      <c r="T993" s="304">
        <f t="shared" ca="1" si="436"/>
        <v>29.226932999999988</v>
      </c>
      <c r="U993" s="311">
        <f t="shared" ca="1" si="437"/>
        <v>0</v>
      </c>
      <c r="V993" s="306">
        <f t="shared" ca="1" si="438"/>
        <v>1.2256909418999828</v>
      </c>
      <c r="W993" s="304">
        <f t="shared" ca="1" si="439"/>
        <v>27.469376873818021</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0.56547269842386072</v>
      </c>
      <c r="AH993" s="304">
        <f t="shared" ca="1" si="463"/>
        <v>-9.2200579037239603</v>
      </c>
    </row>
    <row r="994" spans="1:34" x14ac:dyDescent="0.2">
      <c r="A994" s="347">
        <f t="shared" ca="1" si="441"/>
        <v>1E-4</v>
      </c>
      <c r="B994" s="304">
        <f t="shared" ca="1" si="442"/>
        <v>37.048600000001834</v>
      </c>
      <c r="D994" s="306">
        <f t="shared" ca="1" si="443"/>
        <v>-0.65080616230436217</v>
      </c>
      <c r="E994" s="307">
        <f t="shared" ca="1" si="444"/>
        <v>-0.61292001179903721</v>
      </c>
      <c r="F994" s="304">
        <f t="shared" ca="1" si="445"/>
        <v>0.89399082867614688</v>
      </c>
      <c r="G994" s="306">
        <f t="shared" ca="1" si="446"/>
        <v>7.3843239109378063</v>
      </c>
      <c r="H994" s="307">
        <f t="shared" ca="1" si="447"/>
        <v>-104.35496779571588</v>
      </c>
      <c r="I994" s="304">
        <f t="shared" ca="1" si="448"/>
        <v>104.615904829364</v>
      </c>
      <c r="J994" s="306">
        <f t="shared" ca="1" si="449"/>
        <v>839.7136314269211</v>
      </c>
      <c r="K994" s="307">
        <f t="shared" ca="1" si="450"/>
        <v>-5.6491873099446455</v>
      </c>
      <c r="L994" s="304">
        <f t="shared" ca="1" si="435"/>
        <v>839.73263371233224</v>
      </c>
      <c r="M994" s="306">
        <f t="shared" ca="1" si="451"/>
        <v>-1.5001524846672132</v>
      </c>
      <c r="N994" s="304">
        <f t="shared" ca="1" si="452"/>
        <v>-85.952405997495262</v>
      </c>
      <c r="P994" s="310">
        <f t="shared" ca="1" si="453"/>
        <v>23</v>
      </c>
      <c r="Q994" s="304">
        <f t="shared" ca="1" si="454"/>
        <v>0</v>
      </c>
      <c r="R994" s="306">
        <f t="shared" ca="1" si="455"/>
        <v>0</v>
      </c>
      <c r="S994" s="307">
        <f t="shared" ca="1" si="456"/>
        <v>2.9792999999999985</v>
      </c>
      <c r="T994" s="304">
        <f t="shared" ca="1" si="436"/>
        <v>29.226932999999988</v>
      </c>
      <c r="U994" s="311">
        <f t="shared" ca="1" si="437"/>
        <v>0</v>
      </c>
      <c r="V994" s="306">
        <f t="shared" ca="1" si="438"/>
        <v>1.225692220969764</v>
      </c>
      <c r="W994" s="304">
        <f t="shared" ca="1" si="439"/>
        <v>27.469435234191408</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0.56545356784192435</v>
      </c>
      <c r="AH994" s="304">
        <f t="shared" ca="1" si="463"/>
        <v>-9.2200774926385503</v>
      </c>
    </row>
    <row r="995" spans="1:34" x14ac:dyDescent="0.2">
      <c r="A995" s="347">
        <f t="shared" ca="1" si="441"/>
        <v>1E-4</v>
      </c>
      <c r="B995" s="304">
        <f t="shared" ca="1" si="442"/>
        <v>37.048700000001837</v>
      </c>
      <c r="D995" s="306">
        <f t="shared" ca="1" si="443"/>
        <v>-0.65080145747771467</v>
      </c>
      <c r="E995" s="307">
        <f t="shared" ca="1" si="444"/>
        <v>-0.61290004127584652</v>
      </c>
      <c r="F995" s="304">
        <f t="shared" ca="1" si="445"/>
        <v>0.89397371194630326</v>
      </c>
      <c r="G995" s="306">
        <f t="shared" ca="1" si="446"/>
        <v>7.3842588307920582</v>
      </c>
      <c r="H995" s="307">
        <f t="shared" ca="1" si="447"/>
        <v>-104.35502908572001</v>
      </c>
      <c r="I995" s="304">
        <f t="shared" ca="1" si="448"/>
        <v>104.61596137283067</v>
      </c>
      <c r="J995" s="306">
        <f t="shared" ca="1" si="449"/>
        <v>839.7136314269211</v>
      </c>
      <c r="K995" s="307">
        <f t="shared" ca="1" si="450"/>
        <v>-5.6596228097887176</v>
      </c>
      <c r="L995" s="304">
        <f t="shared" ca="1" si="435"/>
        <v>839.7327039805798</v>
      </c>
      <c r="M995" s="306">
        <f t="shared" ca="1" si="451"/>
        <v>-1.5001531465545617</v>
      </c>
      <c r="N995" s="304">
        <f t="shared" ca="1" si="452"/>
        <v>-85.952443920846832</v>
      </c>
      <c r="P995" s="310">
        <f t="shared" ca="1" si="453"/>
        <v>23</v>
      </c>
      <c r="Q995" s="304">
        <f t="shared" ca="1" si="454"/>
        <v>0</v>
      </c>
      <c r="R995" s="306">
        <f t="shared" ca="1" si="455"/>
        <v>0</v>
      </c>
      <c r="S995" s="307">
        <f t="shared" ca="1" si="456"/>
        <v>2.9792999999999985</v>
      </c>
      <c r="T995" s="304">
        <f t="shared" ca="1" si="436"/>
        <v>29.226932999999988</v>
      </c>
      <c r="U995" s="311">
        <f t="shared" ca="1" si="437"/>
        <v>0</v>
      </c>
      <c r="V995" s="306">
        <f t="shared" ca="1" si="438"/>
        <v>1.2256935000416318</v>
      </c>
      <c r="W995" s="304">
        <f t="shared" ca="1" si="439"/>
        <v>27.46949359368497</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0.56543443754648592</v>
      </c>
      <c r="AH995" s="304">
        <f t="shared" ca="1" si="463"/>
        <v>-9.2200970812578191</v>
      </c>
    </row>
    <row r="996" spans="1:34" x14ac:dyDescent="0.2">
      <c r="A996" s="347">
        <f t="shared" ca="1" si="441"/>
        <v>1E-4</v>
      </c>
      <c r="B996" s="304">
        <f t="shared" ca="1" si="442"/>
        <v>37.04880000000184</v>
      </c>
      <c r="D996" s="306">
        <f t="shared" ca="1" si="443"/>
        <v>-0.65079675266430292</v>
      </c>
      <c r="E996" s="307">
        <f t="shared" ca="1" si="444"/>
        <v>-0.61288007105369324</v>
      </c>
      <c r="F996" s="304">
        <f t="shared" ca="1" si="445"/>
        <v>0.89395659557563645</v>
      </c>
      <c r="G996" s="306">
        <f t="shared" ca="1" si="446"/>
        <v>7.3841937511167917</v>
      </c>
      <c r="H996" s="307">
        <f t="shared" ca="1" si="447"/>
        <v>-104.35509037372711</v>
      </c>
      <c r="I996" s="304">
        <f t="shared" ca="1" si="448"/>
        <v>104.61601791438433</v>
      </c>
      <c r="J996" s="306">
        <f t="shared" ca="1" si="449"/>
        <v>839.7136314269211</v>
      </c>
      <c r="K996" s="307">
        <f t="shared" ca="1" si="450"/>
        <v>-5.6700583157616897</v>
      </c>
      <c r="L996" s="304">
        <f t="shared" ca="1" si="435"/>
        <v>839.73277437854676</v>
      </c>
      <c r="M996" s="306">
        <f t="shared" ca="1" si="451"/>
        <v>-1.5001538084353614</v>
      </c>
      <c r="N996" s="304">
        <f t="shared" ca="1" si="452"/>
        <v>-85.952481843823207</v>
      </c>
      <c r="P996" s="310">
        <f t="shared" ca="1" si="453"/>
        <v>23</v>
      </c>
      <c r="Q996" s="304">
        <f t="shared" ca="1" si="454"/>
        <v>0</v>
      </c>
      <c r="R996" s="306">
        <f t="shared" ca="1" si="455"/>
        <v>0</v>
      </c>
      <c r="S996" s="307">
        <f t="shared" ca="1" si="456"/>
        <v>2.9792999999999985</v>
      </c>
      <c r="T996" s="304">
        <f t="shared" ca="1" si="436"/>
        <v>29.226932999999988</v>
      </c>
      <c r="U996" s="311">
        <f t="shared" ca="1" si="437"/>
        <v>0</v>
      </c>
      <c r="V996" s="306">
        <f t="shared" ca="1" si="438"/>
        <v>1.2256947791155859</v>
      </c>
      <c r="W996" s="304">
        <f t="shared" ca="1" si="439"/>
        <v>27.46955195229868</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0.56541530753753655</v>
      </c>
      <c r="AH996" s="304">
        <f t="shared" ca="1" si="463"/>
        <v>-9.2201166695817758</v>
      </c>
    </row>
    <row r="997" spans="1:34" x14ac:dyDescent="0.2">
      <c r="A997" s="347">
        <f t="shared" ca="1" si="441"/>
        <v>1E-4</v>
      </c>
      <c r="B997" s="304">
        <f t="shared" ca="1" si="442"/>
        <v>37.048900000001844</v>
      </c>
      <c r="D997" s="306">
        <f t="shared" ca="1" si="443"/>
        <v>-0.65079204786412503</v>
      </c>
      <c r="E997" s="307">
        <f t="shared" ca="1" si="444"/>
        <v>-0.61286010113258627</v>
      </c>
      <c r="F997" s="304">
        <f t="shared" ca="1" si="445"/>
        <v>0.89393947956415121</v>
      </c>
      <c r="G997" s="306">
        <f t="shared" ca="1" si="446"/>
        <v>7.3841286719120056</v>
      </c>
      <c r="H997" s="307">
        <f t="shared" ca="1" si="447"/>
        <v>-104.35515165973722</v>
      </c>
      <c r="I997" s="304">
        <f t="shared" ca="1" si="448"/>
        <v>104.61607445402502</v>
      </c>
      <c r="J997" s="306">
        <f t="shared" ca="1" si="449"/>
        <v>839.7136314269211</v>
      </c>
      <c r="K997" s="307">
        <f t="shared" ca="1" si="450"/>
        <v>-5.680493827863363</v>
      </c>
      <c r="L997" s="304">
        <f t="shared" ca="1" si="435"/>
        <v>839.73284490623291</v>
      </c>
      <c r="M997" s="306">
        <f t="shared" ca="1" si="451"/>
        <v>-1.5001544703096124</v>
      </c>
      <c r="N997" s="304">
        <f t="shared" ca="1" si="452"/>
        <v>-85.952519766424345</v>
      </c>
      <c r="P997" s="310">
        <f t="shared" ca="1" si="453"/>
        <v>23</v>
      </c>
      <c r="Q997" s="304">
        <f t="shared" ca="1" si="454"/>
        <v>0</v>
      </c>
      <c r="R997" s="306">
        <f t="shared" ca="1" si="455"/>
        <v>0</v>
      </c>
      <c r="S997" s="307">
        <f t="shared" ca="1" si="456"/>
        <v>2.9792999999999985</v>
      </c>
      <c r="T997" s="304">
        <f t="shared" ca="1" si="436"/>
        <v>29.226932999999988</v>
      </c>
      <c r="U997" s="311">
        <f t="shared" ca="1" si="437"/>
        <v>0</v>
      </c>
      <c r="V997" s="306">
        <f t="shared" ca="1" si="438"/>
        <v>1.2256960581916263</v>
      </c>
      <c r="W997" s="304">
        <f t="shared" ca="1" si="439"/>
        <v>27.469610310032589</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0.56539617781509044</v>
      </c>
      <c r="AH997" s="304">
        <f t="shared" ca="1" si="463"/>
        <v>-9.2201362576104096</v>
      </c>
    </row>
    <row r="998" spans="1:34" x14ac:dyDescent="0.2">
      <c r="A998" s="347">
        <f t="shared" ca="1" si="441"/>
        <v>1E-4</v>
      </c>
      <c r="B998" s="304">
        <f t="shared" ca="1" si="442"/>
        <v>37.049000000001847</v>
      </c>
      <c r="D998" s="306">
        <f t="shared" ca="1" si="443"/>
        <v>-0.65078734307718356</v>
      </c>
      <c r="E998" s="307">
        <f t="shared" ca="1" si="444"/>
        <v>-0.61284013151250782</v>
      </c>
      <c r="F998" s="304">
        <f t="shared" ca="1" si="445"/>
        <v>0.89392236391183755</v>
      </c>
      <c r="G998" s="306">
        <f t="shared" ca="1" si="446"/>
        <v>7.3840635931776983</v>
      </c>
      <c r="H998" s="307">
        <f t="shared" ca="1" si="447"/>
        <v>-104.35521294375037</v>
      </c>
      <c r="I998" s="304">
        <f t="shared" ca="1" si="448"/>
        <v>104.61613099175278</v>
      </c>
      <c r="J998" s="306">
        <f t="shared" ca="1" si="449"/>
        <v>839.7136314269211</v>
      </c>
      <c r="K998" s="307">
        <f t="shared" ca="1" si="450"/>
        <v>-5.6909293460935375</v>
      </c>
      <c r="L998" s="304">
        <f t="shared" ca="1" si="435"/>
        <v>839.73291556363881</v>
      </c>
      <c r="M998" s="306">
        <f t="shared" ca="1" si="451"/>
        <v>-1.5001551321773146</v>
      </c>
      <c r="N998" s="304">
        <f t="shared" ca="1" si="452"/>
        <v>-85.952557688650288</v>
      </c>
      <c r="P998" s="310">
        <f t="shared" ca="1" si="453"/>
        <v>23</v>
      </c>
      <c r="Q998" s="304">
        <f t="shared" ca="1" si="454"/>
        <v>0</v>
      </c>
      <c r="R998" s="306">
        <f t="shared" ca="1" si="455"/>
        <v>0</v>
      </c>
      <c r="S998" s="307">
        <f t="shared" ca="1" si="456"/>
        <v>2.9792999999999985</v>
      </c>
      <c r="T998" s="304">
        <f t="shared" ca="1" si="436"/>
        <v>29.226932999999988</v>
      </c>
      <c r="U998" s="311">
        <f t="shared" ca="1" si="437"/>
        <v>0</v>
      </c>
      <c r="V998" s="306">
        <f t="shared" ca="1" si="438"/>
        <v>1.2256973372697531</v>
      </c>
      <c r="W998" s="304">
        <f t="shared" ca="1" si="439"/>
        <v>27.46966866688668</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0.56537704837912628</v>
      </c>
      <c r="AH998" s="304">
        <f t="shared" ca="1" si="463"/>
        <v>-9.22015584534374</v>
      </c>
    </row>
    <row r="999" spans="1:34" x14ac:dyDescent="0.2">
      <c r="A999" s="347">
        <f t="shared" ca="1" si="441"/>
        <v>1E-4</v>
      </c>
      <c r="B999" s="304">
        <f t="shared" ca="1" si="442"/>
        <v>37.04910000000185</v>
      </c>
      <c r="D999" s="306">
        <f t="shared" ca="1" si="443"/>
        <v>-0.65078263830347849</v>
      </c>
      <c r="E999" s="307">
        <f t="shared" ca="1" si="444"/>
        <v>-0.61282016219346502</v>
      </c>
      <c r="F999" s="304">
        <f t="shared" ca="1" si="445"/>
        <v>0.89390524861870058</v>
      </c>
      <c r="G999" s="306">
        <f t="shared" ca="1" si="446"/>
        <v>7.383998514913868</v>
      </c>
      <c r="H999" s="307">
        <f t="shared" ca="1" si="447"/>
        <v>-104.35527422576659</v>
      </c>
      <c r="I999" s="304">
        <f t="shared" ca="1" si="448"/>
        <v>104.61618752756763</v>
      </c>
      <c r="J999" s="306">
        <f t="shared" ca="1" si="449"/>
        <v>839.7136314269211</v>
      </c>
      <c r="K999" s="307">
        <f t="shared" ca="1" si="450"/>
        <v>-5.7013648704520135</v>
      </c>
      <c r="L999" s="304">
        <f t="shared" ca="1" si="435"/>
        <v>839.73298635076446</v>
      </c>
      <c r="M999" s="306">
        <f t="shared" ca="1" si="451"/>
        <v>-1.5001557940384682</v>
      </c>
      <c r="N999" s="304">
        <f t="shared" ca="1" si="452"/>
        <v>-85.952595610501007</v>
      </c>
      <c r="P999" s="310">
        <f t="shared" ca="1" si="453"/>
        <v>23</v>
      </c>
      <c r="Q999" s="304">
        <f t="shared" ca="1" si="454"/>
        <v>0</v>
      </c>
      <c r="R999" s="306">
        <f t="shared" ca="1" si="455"/>
        <v>0</v>
      </c>
      <c r="S999" s="307">
        <f t="shared" ca="1" si="456"/>
        <v>2.9792999999999985</v>
      </c>
      <c r="T999" s="304">
        <f t="shared" ca="1" si="436"/>
        <v>29.226932999999988</v>
      </c>
      <c r="U999" s="311">
        <f t="shared" ca="1" si="437"/>
        <v>0</v>
      </c>
      <c r="V999" s="306">
        <f t="shared" ca="1" si="438"/>
        <v>1.2256986163499664</v>
      </c>
      <c r="W999" s="304">
        <f t="shared" ca="1" si="439"/>
        <v>27.46972702286098</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0.56535791922965117</v>
      </c>
      <c r="AH999" s="304">
        <f t="shared" ca="1" si="463"/>
        <v>-9.2201754327817582</v>
      </c>
    </row>
    <row r="1000" spans="1:34" x14ac:dyDescent="0.2">
      <c r="A1000" s="347">
        <f t="shared" ca="1" si="441"/>
        <v>1E-4</v>
      </c>
      <c r="B1000" s="304">
        <f t="shared" ca="1" si="442"/>
        <v>37.049200000001854</v>
      </c>
      <c r="D1000" s="306">
        <f t="shared" ca="1" si="443"/>
        <v>-0.65077793354301006</v>
      </c>
      <c r="E1000" s="307">
        <f t="shared" ca="1" si="444"/>
        <v>-0.61280019317544721</v>
      </c>
      <c r="F1000" s="304">
        <f t="shared" ca="1" si="445"/>
        <v>0.89388813368473341</v>
      </c>
      <c r="G1000" s="306">
        <f t="shared" ca="1" si="446"/>
        <v>7.3839334371205139</v>
      </c>
      <c r="H1000" s="307">
        <f t="shared" ca="1" si="447"/>
        <v>-104.35533550578592</v>
      </c>
      <c r="I1000" s="304">
        <f t="shared" ca="1" si="448"/>
        <v>104.61624406146957</v>
      </c>
      <c r="J1000" s="306">
        <f t="shared" ca="1" si="449"/>
        <v>839.7136314269211</v>
      </c>
      <c r="K1000" s="307">
        <f t="shared" ca="1" si="450"/>
        <v>-5.711800400938591</v>
      </c>
      <c r="L1000" s="304">
        <f t="shared" ca="1" si="435"/>
        <v>839.73305726761009</v>
      </c>
      <c r="M1000" s="306">
        <f t="shared" ca="1" si="451"/>
        <v>-1.5001564558930731</v>
      </c>
      <c r="N1000" s="304">
        <f t="shared" ca="1" si="452"/>
        <v>-85.952633531976531</v>
      </c>
      <c r="P1000" s="310">
        <f t="shared" ca="1" si="453"/>
        <v>23</v>
      </c>
      <c r="Q1000" s="304">
        <f t="shared" ca="1" si="454"/>
        <v>0</v>
      </c>
      <c r="R1000" s="306">
        <f t="shared" ca="1" si="455"/>
        <v>0</v>
      </c>
      <c r="S1000" s="307">
        <f t="shared" ca="1" si="456"/>
        <v>2.9792999999999985</v>
      </c>
      <c r="T1000" s="304">
        <f t="shared" ca="1" si="436"/>
        <v>29.226932999999988</v>
      </c>
      <c r="U1000" s="311">
        <f t="shared" ca="1" si="437"/>
        <v>0</v>
      </c>
      <c r="V1000" s="306">
        <f t="shared" ca="1" si="438"/>
        <v>1.2256998954322655</v>
      </c>
      <c r="W1000" s="304">
        <f t="shared" ca="1" si="439"/>
        <v>27.469785377955468</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0.56533879036665624</v>
      </c>
      <c r="AH1000" s="304">
        <f t="shared" ca="1" si="463"/>
        <v>-9.2201950199244767</v>
      </c>
    </row>
    <row r="1001" spans="1:34" x14ac:dyDescent="0.2">
      <c r="A1001" s="347">
        <f t="shared" ca="1" si="441"/>
        <v>1E-4</v>
      </c>
      <c r="B1001" s="304">
        <f t="shared" ca="1" si="442"/>
        <v>37.049300000001857</v>
      </c>
      <c r="D1001" s="306">
        <f t="shared" ca="1" si="443"/>
        <v>-0.65077322879578037</v>
      </c>
      <c r="E1001" s="307">
        <f t="shared" ca="1" si="444"/>
        <v>-0.61278022445846148</v>
      </c>
      <c r="F1001" s="304">
        <f t="shared" ca="1" si="445"/>
        <v>0.89387101910994271</v>
      </c>
      <c r="G1001" s="306">
        <f t="shared" ca="1" si="446"/>
        <v>7.383868359797634</v>
      </c>
      <c r="H1001" s="307">
        <f t="shared" ca="1" si="447"/>
        <v>-104.35539678380836</v>
      </c>
      <c r="I1001" s="304">
        <f t="shared" ca="1" si="448"/>
        <v>104.61630059345867</v>
      </c>
      <c r="J1001" s="306">
        <f t="shared" ca="1" si="449"/>
        <v>839.7136314269211</v>
      </c>
      <c r="K1001" s="307">
        <f t="shared" ca="1" si="450"/>
        <v>-5.7222359375530711</v>
      </c>
      <c r="L1001" s="304">
        <f t="shared" ca="1" si="435"/>
        <v>839.73312831417581</v>
      </c>
      <c r="M1001" s="306">
        <f t="shared" ca="1" si="451"/>
        <v>-1.5001571177411297</v>
      </c>
      <c r="N1001" s="304">
        <f t="shared" ca="1" si="452"/>
        <v>-85.952671453076846</v>
      </c>
      <c r="P1001" s="310">
        <f t="shared" ca="1" si="453"/>
        <v>23</v>
      </c>
      <c r="Q1001" s="304">
        <f t="shared" ca="1" si="454"/>
        <v>0</v>
      </c>
      <c r="R1001" s="306">
        <f t="shared" ca="1" si="455"/>
        <v>0</v>
      </c>
      <c r="S1001" s="307">
        <f t="shared" ca="1" si="456"/>
        <v>2.9792999999999985</v>
      </c>
      <c r="T1001" s="304">
        <f t="shared" ca="1" si="436"/>
        <v>29.226932999999988</v>
      </c>
      <c r="U1001" s="311">
        <f t="shared" ca="1" si="437"/>
        <v>0</v>
      </c>
      <c r="V1001" s="306">
        <f t="shared" ca="1" si="438"/>
        <v>1.2257011745166511</v>
      </c>
      <c r="W1001" s="304">
        <f t="shared" ca="1" si="439"/>
        <v>27.46984373217019</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0.56531966179014681</v>
      </c>
      <c r="AH1001" s="304">
        <f t="shared" ca="1" si="463"/>
        <v>-9.2202146067718864</v>
      </c>
    </row>
    <row r="1002" spans="1:34" x14ac:dyDescent="0.2">
      <c r="A1002" s="347">
        <f t="shared" ca="1" si="441"/>
        <v>1E-4</v>
      </c>
      <c r="B1002" s="304">
        <f t="shared" ca="1" si="442"/>
        <v>37.04940000000186</v>
      </c>
      <c r="D1002" s="306">
        <f t="shared" ca="1" si="443"/>
        <v>-0.65076852406178742</v>
      </c>
      <c r="E1002" s="307">
        <f t="shared" ca="1" si="444"/>
        <v>-0.61276025604249185</v>
      </c>
      <c r="F1002" s="304">
        <f t="shared" ca="1" si="445"/>
        <v>0.89385390489431626</v>
      </c>
      <c r="G1002" s="306">
        <f t="shared" ca="1" si="446"/>
        <v>7.3838032829452276</v>
      </c>
      <c r="H1002" s="307">
        <f t="shared" ca="1" si="447"/>
        <v>-104.35545805983396</v>
      </c>
      <c r="I1002" s="304">
        <f t="shared" ca="1" si="448"/>
        <v>104.61635712353493</v>
      </c>
      <c r="J1002" s="306">
        <f t="shared" ca="1" si="449"/>
        <v>839.7136314269211</v>
      </c>
      <c r="K1002" s="307">
        <f t="shared" ca="1" si="450"/>
        <v>-5.7326714802952532</v>
      </c>
      <c r="L1002" s="304">
        <f t="shared" ca="1" si="435"/>
        <v>839.73319949046197</v>
      </c>
      <c r="M1002" s="306">
        <f t="shared" ca="1" si="451"/>
        <v>-1.500157779582638</v>
      </c>
      <c r="N1002" s="304">
        <f t="shared" ca="1" si="452"/>
        <v>-85.95270937380198</v>
      </c>
      <c r="P1002" s="310">
        <f t="shared" ca="1" si="453"/>
        <v>23</v>
      </c>
      <c r="Q1002" s="304">
        <f t="shared" ca="1" si="454"/>
        <v>0</v>
      </c>
      <c r="R1002" s="306">
        <f t="shared" ca="1" si="455"/>
        <v>0</v>
      </c>
      <c r="S1002" s="307">
        <f t="shared" ca="1" si="456"/>
        <v>2.9792999999999985</v>
      </c>
      <c r="T1002" s="304">
        <f t="shared" ca="1" si="436"/>
        <v>29.226932999999988</v>
      </c>
      <c r="U1002" s="311">
        <f t="shared" ca="1" si="437"/>
        <v>0</v>
      </c>
      <c r="V1002" s="306">
        <f t="shared" ca="1" si="438"/>
        <v>1.2257024536031229</v>
      </c>
      <c r="W1002" s="304">
        <f t="shared" ca="1" si="439"/>
        <v>27.469902085505126</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0.56530053350011045</v>
      </c>
      <c r="AH1002" s="304">
        <f t="shared" ca="1" si="463"/>
        <v>-9.2202341933240035</v>
      </c>
    </row>
    <row r="1003" spans="1:34" x14ac:dyDescent="0.2">
      <c r="A1003" s="347">
        <f t="shared" ca="1" si="441"/>
        <v>1E-4</v>
      </c>
      <c r="B1003" s="304">
        <f t="shared" ca="1" si="442"/>
        <v>37.049500000001863</v>
      </c>
      <c r="D1003" s="306">
        <f t="shared" ca="1" si="443"/>
        <v>-0.650763819341032</v>
      </c>
      <c r="E1003" s="307">
        <f t="shared" ca="1" si="444"/>
        <v>-0.61274028792754542</v>
      </c>
      <c r="F1003" s="304">
        <f t="shared" ca="1" si="445"/>
        <v>0.89383679103785985</v>
      </c>
      <c r="G1003" s="306">
        <f t="shared" ca="1" si="446"/>
        <v>7.3837382065632937</v>
      </c>
      <c r="H1003" s="307">
        <f t="shared" ca="1" si="447"/>
        <v>-104.35551933386276</v>
      </c>
      <c r="I1003" s="304">
        <f t="shared" ca="1" si="448"/>
        <v>104.61641365169839</v>
      </c>
      <c r="J1003" s="306">
        <f t="shared" ca="1" si="449"/>
        <v>839.7136314269211</v>
      </c>
      <c r="K1003" s="307">
        <f t="shared" ca="1" si="450"/>
        <v>-5.7431070291649382</v>
      </c>
      <c r="L1003" s="304">
        <f t="shared" ca="1" si="435"/>
        <v>839.73327079646879</v>
      </c>
      <c r="M1003" s="306">
        <f t="shared" ca="1" si="451"/>
        <v>-1.5001584414175979</v>
      </c>
      <c r="N1003" s="304">
        <f t="shared" ca="1" si="452"/>
        <v>-85.952747294151919</v>
      </c>
      <c r="P1003" s="310">
        <f t="shared" ca="1" si="453"/>
        <v>23</v>
      </c>
      <c r="Q1003" s="304">
        <f t="shared" ca="1" si="454"/>
        <v>0</v>
      </c>
      <c r="R1003" s="306">
        <f t="shared" ca="1" si="455"/>
        <v>0</v>
      </c>
      <c r="S1003" s="307">
        <f t="shared" ca="1" si="456"/>
        <v>2.9792999999999985</v>
      </c>
      <c r="T1003" s="304">
        <f t="shared" ca="1" si="436"/>
        <v>29.226932999999988</v>
      </c>
      <c r="U1003" s="311">
        <f t="shared" ca="1" si="437"/>
        <v>0</v>
      </c>
      <c r="V1003" s="306">
        <f ca="1">Rho_moyen*(20000-Alt_rampe-pos_z)/(20000+Alt_rampe+pos_z)</f>
        <v>1.2257037326916811</v>
      </c>
      <c r="W1003" s="304">
        <f t="shared" ca="1" si="439"/>
        <v>27.469960437960317</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0.56528140549655603</v>
      </c>
      <c r="AH1003" s="304">
        <f t="shared" ca="1" si="463"/>
        <v>-9.2202537795808208</v>
      </c>
    </row>
    <row r="1004" spans="1:34" x14ac:dyDescent="0.2">
      <c r="A1004" s="348">
        <f t="shared" ca="1" si="441"/>
        <v>1E-4</v>
      </c>
      <c r="B1004" s="305">
        <f t="shared" ca="1" si="442"/>
        <v>37.049600000001867</v>
      </c>
      <c r="D1004" s="308">
        <f t="shared" ca="1" si="443"/>
        <v>-0.65075911463351577</v>
      </c>
      <c r="E1004" s="309">
        <f t="shared" ca="1" si="444"/>
        <v>-0.61272032011360977</v>
      </c>
      <c r="F1004" s="305">
        <f t="shared" ca="1" si="445"/>
        <v>0.89381967754056624</v>
      </c>
      <c r="G1004" s="308">
        <f t="shared" ca="1" si="446"/>
        <v>7.3836731306518306</v>
      </c>
      <c r="H1004" s="309">
        <f t="shared" ca="1" si="447"/>
        <v>-104.35558060589477</v>
      </c>
      <c r="I1004" s="305">
        <f t="shared" ca="1" si="448"/>
        <v>104.61647017794908</v>
      </c>
      <c r="J1004" s="308">
        <f t="shared" ca="1" si="449"/>
        <v>839.7136314269211</v>
      </c>
      <c r="K1004" s="309">
        <f t="shared" ca="1" si="450"/>
        <v>-5.7535425841619263</v>
      </c>
      <c r="L1004" s="305">
        <f t="shared" ca="1" si="435"/>
        <v>839.73334223219626</v>
      </c>
      <c r="M1004" s="308">
        <f t="shared" ca="1" si="451"/>
        <v>-1.5001591032460095</v>
      </c>
      <c r="N1004" s="305">
        <f t="shared" ca="1" si="452"/>
        <v>-85.952785214126664</v>
      </c>
      <c r="P1004" s="312">
        <f t="shared" ca="1" si="453"/>
        <v>23</v>
      </c>
      <c r="Q1004" s="305">
        <f t="shared" ca="1" si="454"/>
        <v>0</v>
      </c>
      <c r="R1004" s="308">
        <f t="shared" ca="1" si="455"/>
        <v>0</v>
      </c>
      <c r="S1004" s="309">
        <f t="shared" ca="1" si="456"/>
        <v>2.9792999999999985</v>
      </c>
      <c r="T1004" s="305">
        <f t="shared" ca="1" si="436"/>
        <v>29.226932999999988</v>
      </c>
      <c r="U1004" s="313">
        <f t="shared" ca="1" si="437"/>
        <v>0</v>
      </c>
      <c r="V1004" s="308">
        <f t="shared" ca="1" si="438"/>
        <v>1.2257050117823256</v>
      </c>
      <c r="W1004" s="305">
        <f ca="1">1/2*Rho*Sref*Cx*vit_xz^2</f>
        <v>27.47001878953575</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0.56526227777946403</v>
      </c>
      <c r="AH1004" s="305">
        <f t="shared" ca="1" si="463"/>
        <v>-9.2202733655423526</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SP02-Alpha</v>
      </c>
      <c r="D8" s="600"/>
      <c r="M8" s="75"/>
    </row>
    <row r="9" spans="1:13" ht="15.75" x14ac:dyDescent="0.25">
      <c r="A9" s="59"/>
      <c r="B9" s="140" t="s">
        <v>4</v>
      </c>
      <c r="C9" s="600" t="str">
        <f>Club</f>
        <v>L'AéroIPSA</v>
      </c>
      <c r="D9" s="600"/>
      <c r="M9" s="75"/>
    </row>
    <row r="10" spans="1:13" ht="15.75" x14ac:dyDescent="0.25">
      <c r="A10" s="59"/>
      <c r="B10" s="140" t="s">
        <v>563</v>
      </c>
      <c r="C10" s="666" t="str">
        <f>Matricule</f>
        <v/>
      </c>
      <c r="D10" s="667"/>
      <c r="M10" s="75"/>
    </row>
    <row r="11" spans="1:13" x14ac:dyDescent="0.2">
      <c r="A11" s="59"/>
      <c r="B11" s="140" t="str">
        <f>IF(Lang="Français","Masse sans propu",IF(Lang="English","Mass without M",""))</f>
        <v>Masse sans propu</v>
      </c>
      <c r="C11" s="662">
        <f>MasseSans</f>
        <v>2.895</v>
      </c>
      <c r="D11" s="662"/>
      <c r="M11" s="75"/>
    </row>
    <row r="12" spans="1:13" x14ac:dyDescent="0.2">
      <c r="A12" s="59"/>
      <c r="B12" s="140" t="str">
        <f>IF(Lang="Français","Masse totale",IF(Lang="English","Total mass",""))</f>
        <v>Masse totale</v>
      </c>
      <c r="C12" s="665" t="str">
        <f ca="1">MassePlein &amp; " kg ±" &amp; MasseSans &amp; " kg"</f>
        <v>3,0549 kg ±2,895 kg</v>
      </c>
      <c r="D12" s="665"/>
      <c r="M12" s="75"/>
    </row>
    <row r="13" spans="1:13" x14ac:dyDescent="0.2">
      <c r="A13" s="59"/>
      <c r="B13" s="227" t="str">
        <f>IF(Lang="Français","Propulseur",IF(Lang="English","Motor",""))</f>
        <v>Propulseur</v>
      </c>
      <c r="C13" s="628" t="str">
        <f>Propu</f>
        <v>Pandora (Pro24-6G BS)</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84</v>
      </c>
      <c r="D16" s="663"/>
      <c r="M16" s="75"/>
    </row>
    <row r="17" spans="1:13" x14ac:dyDescent="0.2">
      <c r="A17" s="74"/>
      <c r="B17" s="140" t="s">
        <v>5</v>
      </c>
      <c r="C17" s="664">
        <f>Cx</f>
        <v>0.6</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42</v>
      </c>
      <c r="C43" s="403">
        <f t="shared" ref="C43:C69" ca="1" si="1">1/2*Rho_moyen*PI()*D_var^2/4*Cx/10^6</f>
        <v>5.0915006738566377E-4</v>
      </c>
      <c r="D43" s="400">
        <f ca="1">MpropuPlein+0*MasseSans</f>
        <v>0.15989999999999999</v>
      </c>
      <c r="E43" s="400">
        <f t="shared" ref="E43:E69" ca="1" si="2">m_var - 0.5*m_poudre</f>
        <v>0.12209999999999999</v>
      </c>
      <c r="F43" s="400">
        <f t="shared" ref="F43:F69" ca="1" si="3">m_var - m_poudre</f>
        <v>8.43E-2</v>
      </c>
      <c r="G43" s="407">
        <f t="shared" ref="G43:G69" ca="1" si="4">MAX(0, (I_total/Temps_fin_propu)/m_prop-g)</f>
        <v>573.48238329238336</v>
      </c>
      <c r="H43" s="406">
        <f t="shared" ref="H43:H69" ca="1" si="5">Q_var/m_prop</f>
        <v>4.1699432218318087E-3</v>
      </c>
      <c r="I43" s="403">
        <f t="shared" ref="I43:I69" ca="1" si="6">Q_var/m_bal</f>
        <v>6.0397398266389532E-3</v>
      </c>
      <c r="J43" s="403">
        <f t="shared" ref="J43:J69" ca="1" si="7">1/(2*b_prop)*LN(  ((EXP(2*SQRT(a_prop*b_prop)*Temps_fin_propu)+1)^2)  /  (((1+1)^2)*EXP(2*SQRT(a_prop*b_prop)*Temps_fin_propu)))</f>
        <v>575.96294147993024</v>
      </c>
      <c r="K43" s="410">
        <f t="shared" ref="K43:K69" ca="1" si="8">SQRT(a_prop/b_prop)  *  (EXP(2*SQRT(a_prop*b_prop)*Temps_fin_propu)-1)/(EXP(2*SQRT(a_prop*b_prop)*Temps_fin_propu)+1)</f>
        <v>369.32332981562001</v>
      </c>
      <c r="L43" s="413">
        <f t="shared" ref="L43:L69" ca="1" si="9">alt_prop + 1/(2*b_bal) * LN(1+b_bal/g*V_prop^2)</f>
        <v>943.72596711044525</v>
      </c>
      <c r="M43" s="416">
        <f t="shared" ref="M43:M69" ca="1" si="10">Temps_fin_propu + ATAN(SQRT(b_bal/g)*V_prop)/SQRT(b_bal*g)</f>
        <v>8.0066772056142064</v>
      </c>
    </row>
    <row r="44" spans="1:13" x14ac:dyDescent="0.2">
      <c r="B44" s="426">
        <f t="shared" ca="1" si="0"/>
        <v>42</v>
      </c>
      <c r="C44" s="404">
        <f t="shared" ca="1" si="1"/>
        <v>5.0915006738566377E-4</v>
      </c>
      <c r="D44" s="401">
        <f ca="1">MpropuPlein+0.25*MasseSans</f>
        <v>0.88365000000000005</v>
      </c>
      <c r="E44" s="401">
        <f t="shared" ca="1" si="2"/>
        <v>0.8458500000000001</v>
      </c>
      <c r="F44" s="401">
        <f t="shared" ca="1" si="3"/>
        <v>0.80805000000000005</v>
      </c>
      <c r="G44" s="408">
        <f t="shared" ca="1" si="4"/>
        <v>74.389326121652758</v>
      </c>
      <c r="H44" s="404">
        <f t="shared" ca="1" si="5"/>
        <v>6.0193895771787397E-4</v>
      </c>
      <c r="I44" s="404">
        <f t="shared" ca="1" si="6"/>
        <v>6.300972308466849E-4</v>
      </c>
      <c r="J44" s="404">
        <f t="shared" ca="1" si="7"/>
        <v>144.53855685653861</v>
      </c>
      <c r="K44" s="411">
        <f t="shared" ca="1" si="8"/>
        <v>140.48938293512452</v>
      </c>
      <c r="L44" s="414">
        <f t="shared" ca="1" si="9"/>
        <v>794.26192802243168</v>
      </c>
      <c r="M44" s="417">
        <f t="shared" ca="1" si="10"/>
        <v>12.742249634307495</v>
      </c>
    </row>
    <row r="45" spans="1:13" x14ac:dyDescent="0.2">
      <c r="B45" s="426">
        <f t="shared" ca="1" si="0"/>
        <v>42</v>
      </c>
      <c r="C45" s="404">
        <f t="shared" ca="1" si="1"/>
        <v>5.0915006738566377E-4</v>
      </c>
      <c r="D45" s="401">
        <f ca="1">MpropuPlein+0.5*MasseSans</f>
        <v>1.6073999999999999</v>
      </c>
      <c r="E45" s="401">
        <f t="shared" ca="1" si="2"/>
        <v>1.5695999999999999</v>
      </c>
      <c r="F45" s="401">
        <f t="shared" ca="1" si="3"/>
        <v>1.5318000000000001</v>
      </c>
      <c r="G45" s="408">
        <f t="shared" ca="1" si="4"/>
        <v>35.564617737003061</v>
      </c>
      <c r="H45" s="404">
        <f t="shared" ca="1" si="5"/>
        <v>3.2438205108668692E-4</v>
      </c>
      <c r="I45" s="404">
        <f t="shared" ca="1" si="6"/>
        <v>3.323867785518108E-4</v>
      </c>
      <c r="J45" s="404">
        <f t="shared" ca="1" si="7"/>
        <v>70.588818354465246</v>
      </c>
      <c r="K45" s="411">
        <f t="shared" ca="1" si="8"/>
        <v>70.054948639462992</v>
      </c>
      <c r="L45" s="414">
        <f t="shared" ca="1" si="9"/>
        <v>301.98077245487542</v>
      </c>
      <c r="M45" s="417">
        <f t="shared" ca="1" si="10"/>
        <v>8.7806895651265435</v>
      </c>
    </row>
    <row r="46" spans="1:13" x14ac:dyDescent="0.2">
      <c r="B46" s="426">
        <f t="shared" ca="1" si="0"/>
        <v>42</v>
      </c>
      <c r="C46" s="404">
        <f t="shared" ca="1" si="1"/>
        <v>5.0915006738566377E-4</v>
      </c>
      <c r="D46" s="401">
        <f ca="1">MpropuPlein+0.75*MasseSans</f>
        <v>2.3311500000000001</v>
      </c>
      <c r="E46" s="401">
        <f t="shared" ca="1" si="2"/>
        <v>2.2933500000000002</v>
      </c>
      <c r="F46" s="401">
        <f t="shared" ca="1" si="3"/>
        <v>2.2555499999999999</v>
      </c>
      <c r="G46" s="408">
        <f t="shared" ca="1" si="4"/>
        <v>21.24500686768264</v>
      </c>
      <c r="H46" s="404">
        <f t="shared" ca="1" si="5"/>
        <v>2.2201149732298329E-4</v>
      </c>
      <c r="I46" s="404">
        <f t="shared" ca="1" si="6"/>
        <v>2.2573211295943952E-4</v>
      </c>
      <c r="J46" s="404">
        <f t="shared" ca="1" si="7"/>
        <v>42.357075481371204</v>
      </c>
      <c r="K46" s="411">
        <f t="shared" ca="1" si="8"/>
        <v>42.224801783061984</v>
      </c>
      <c r="L46" s="414">
        <f t="shared" ca="1" si="9"/>
        <v>131.41574181078286</v>
      </c>
      <c r="M46" s="417">
        <f t="shared" ca="1" si="10"/>
        <v>6.2468066617056053</v>
      </c>
    </row>
    <row r="47" spans="1:13" x14ac:dyDescent="0.2">
      <c r="B47" s="426">
        <f t="shared" ca="1" si="0"/>
        <v>42</v>
      </c>
      <c r="C47" s="404">
        <f t="shared" ca="1" si="1"/>
        <v>5.0915006738566377E-4</v>
      </c>
      <c r="D47" s="401">
        <f ca="1">MpropuPlein+1*MasseSans</f>
        <v>3.0548999999999999</v>
      </c>
      <c r="E47" s="401">
        <f t="shared" ca="1" si="2"/>
        <v>3.0171000000000001</v>
      </c>
      <c r="F47" s="401">
        <f t="shared" ca="1" si="3"/>
        <v>2.9792999999999998</v>
      </c>
      <c r="G47" s="408">
        <f t="shared" ca="1" si="4"/>
        <v>13.795448941036094</v>
      </c>
      <c r="H47" s="404">
        <f t="shared" ca="1" si="5"/>
        <v>1.6875478684354636E-4</v>
      </c>
      <c r="I47" s="404">
        <f t="shared" ca="1" si="6"/>
        <v>1.7089587063594261E-4</v>
      </c>
      <c r="J47" s="404">
        <f t="shared" ca="1" si="7"/>
        <v>27.548181962789634</v>
      </c>
      <c r="K47" s="411">
        <f t="shared" ca="1" si="8"/>
        <v>27.505571782682907</v>
      </c>
      <c r="L47" s="414">
        <f t="shared" ca="1" si="9"/>
        <v>65.856758964896528</v>
      </c>
      <c r="M47" s="417">
        <f t="shared" ca="1" si="10"/>
        <v>4.7916086128567281</v>
      </c>
    </row>
    <row r="48" spans="1:13" x14ac:dyDescent="0.2">
      <c r="B48" s="426">
        <f t="shared" ca="1" si="0"/>
        <v>42</v>
      </c>
      <c r="C48" s="404">
        <f t="shared" ca="1" si="1"/>
        <v>5.0915006738566377E-4</v>
      </c>
      <c r="D48" s="401">
        <f ca="1">MpropuPlein+1.25*MasseSans</f>
        <v>3.7786499999999998</v>
      </c>
      <c r="E48" s="401">
        <f t="shared" ca="1" si="2"/>
        <v>3.74085</v>
      </c>
      <c r="F48" s="401">
        <f t="shared" ca="1" si="3"/>
        <v>3.7030499999999997</v>
      </c>
      <c r="G48" s="408">
        <f t="shared" ca="1" si="4"/>
        <v>9.228453827338706</v>
      </c>
      <c r="H48" s="404">
        <f t="shared" ca="1" si="5"/>
        <v>1.3610544859742139E-4</v>
      </c>
      <c r="I48" s="404">
        <f t="shared" ca="1" si="6"/>
        <v>1.3749478602386245E-4</v>
      </c>
      <c r="J48" s="404">
        <f t="shared" ca="1" si="7"/>
        <v>18.441473218344012</v>
      </c>
      <c r="K48" s="411">
        <f t="shared" ca="1" si="8"/>
        <v>18.42605942543565</v>
      </c>
      <c r="L48" s="414">
        <f t="shared" ca="1" si="9"/>
        <v>35.705203848174058</v>
      </c>
      <c r="M48" s="417">
        <f t="shared" ca="1" si="10"/>
        <v>3.8753226277746182</v>
      </c>
    </row>
    <row r="49" spans="2:13" x14ac:dyDescent="0.2">
      <c r="B49" s="426">
        <f t="shared" ca="1" si="0"/>
        <v>42</v>
      </c>
      <c r="C49" s="404">
        <f t="shared" ca="1" si="1"/>
        <v>5.0915006738566377E-4</v>
      </c>
      <c r="D49" s="401">
        <f ca="1">MpropuPlein+1.5*MasseSans</f>
        <v>4.5024000000000006</v>
      </c>
      <c r="E49" s="401">
        <f t="shared" ca="1" si="2"/>
        <v>4.4646000000000008</v>
      </c>
      <c r="F49" s="401">
        <f t="shared" ca="1" si="3"/>
        <v>4.426800000000001</v>
      </c>
      <c r="G49" s="408">
        <f t="shared" ca="1" si="4"/>
        <v>6.1421569681494379</v>
      </c>
      <c r="H49" s="404">
        <f t="shared" ca="1" si="5"/>
        <v>1.1404158656669437E-4</v>
      </c>
      <c r="I49" s="404">
        <f t="shared" ca="1" si="6"/>
        <v>1.150153762053094E-4</v>
      </c>
      <c r="J49" s="404">
        <f t="shared" ca="1" si="7"/>
        <v>12.278581760817596</v>
      </c>
      <c r="K49" s="411">
        <f t="shared" ca="1" si="8"/>
        <v>12.272853864102277</v>
      </c>
      <c r="L49" s="414">
        <f t="shared" ca="1" si="9"/>
        <v>19.948821422541236</v>
      </c>
      <c r="M49" s="417">
        <f t="shared" ca="1" si="10"/>
        <v>3.2503197859446455</v>
      </c>
    </row>
    <row r="50" spans="2:13" x14ac:dyDescent="0.2">
      <c r="B50" s="426">
        <f t="shared" ca="1" si="0"/>
        <v>42</v>
      </c>
      <c r="C50" s="404">
        <f t="shared" ca="1" si="1"/>
        <v>5.0915006738566377E-4</v>
      </c>
      <c r="D50" s="401">
        <f ca="1">MpropuPlein+1.75*MasseSans</f>
        <v>5.2261500000000005</v>
      </c>
      <c r="E50" s="401">
        <f t="shared" ca="1" si="2"/>
        <v>5.1883500000000007</v>
      </c>
      <c r="F50" s="401">
        <f t="shared" ca="1" si="3"/>
        <v>5.1505500000000008</v>
      </c>
      <c r="G50" s="408">
        <f t="shared" ca="1" si="4"/>
        <v>3.9169073983058169</v>
      </c>
      <c r="H50" s="404">
        <f t="shared" ca="1" si="5"/>
        <v>9.8133330902052426E-5</v>
      </c>
      <c r="I50" s="404">
        <f t="shared" ca="1" si="6"/>
        <v>9.8853533581008571E-5</v>
      </c>
      <c r="J50" s="404">
        <f t="shared" ca="1" si="7"/>
        <v>7.8318081824664141</v>
      </c>
      <c r="K50" s="411">
        <f t="shared" ca="1" si="8"/>
        <v>7.8298023906125271</v>
      </c>
      <c r="L50" s="414">
        <f t="shared" ca="1" si="9"/>
        <v>10.955502214865072</v>
      </c>
      <c r="M50" s="417">
        <f t="shared" ca="1" si="10"/>
        <v>2.7979806989267115</v>
      </c>
    </row>
    <row r="51" spans="2:13" x14ac:dyDescent="0.2">
      <c r="B51" s="427">
        <f t="shared" ca="1" si="0"/>
        <v>42</v>
      </c>
      <c r="C51" s="405">
        <f t="shared" ca="1" si="1"/>
        <v>5.0915006738566377E-4</v>
      </c>
      <c r="D51" s="402">
        <f ca="1">MpropuPlein+2*MasseSans</f>
        <v>5.9499000000000004</v>
      </c>
      <c r="E51" s="402">
        <f t="shared" ca="1" si="2"/>
        <v>5.9121000000000006</v>
      </c>
      <c r="F51" s="402">
        <f t="shared" ca="1" si="3"/>
        <v>5.8743000000000007</v>
      </c>
      <c r="G51" s="409">
        <f t="shared" ca="1" si="4"/>
        <v>2.2364809458568011</v>
      </c>
      <c r="H51" s="405">
        <f t="shared" ca="1" si="5"/>
        <v>8.6120002602402488E-5</v>
      </c>
      <c r="I51" s="405">
        <f t="shared" ca="1" si="6"/>
        <v>8.6674168392091602E-5</v>
      </c>
      <c r="J51" s="405">
        <f t="shared" ca="1" si="7"/>
        <v>4.472387664245284</v>
      </c>
      <c r="K51" s="412">
        <f t="shared" ca="1" si="8"/>
        <v>4.4718135547184463</v>
      </c>
      <c r="L51" s="415">
        <f t="shared" ca="1" si="9"/>
        <v>5.4915186595692944</v>
      </c>
      <c r="M51" s="418">
        <f t="shared" ca="1" si="10"/>
        <v>2.4558155170464664</v>
      </c>
    </row>
    <row r="52" spans="2:13" x14ac:dyDescent="0.2">
      <c r="B52" s="425">
        <f t="shared" ref="B52:B60" si="11">D_ref</f>
        <v>84</v>
      </c>
      <c r="C52" s="403">
        <f t="shared" si="1"/>
        <v>2.0366002695426551E-3</v>
      </c>
      <c r="D52" s="400">
        <f ca="1">MpropuPlein+0*MasseSans</f>
        <v>0.15989999999999999</v>
      </c>
      <c r="E52" s="400">
        <f t="shared" ca="1" si="2"/>
        <v>0.12209999999999999</v>
      </c>
      <c r="F52" s="400">
        <f t="shared" ca="1" si="3"/>
        <v>8.43E-2</v>
      </c>
      <c r="G52" s="407">
        <f t="shared" ca="1" si="4"/>
        <v>573.48238329238336</v>
      </c>
      <c r="H52" s="403">
        <f t="shared" ca="1" si="5"/>
        <v>1.6679772887327235E-2</v>
      </c>
      <c r="I52" s="403">
        <f t="shared" ca="1" si="6"/>
        <v>2.4158959306555813E-2</v>
      </c>
      <c r="J52" s="403">
        <f t="shared" ca="1" si="7"/>
        <v>329.29127253077786</v>
      </c>
      <c r="K52" s="410">
        <f t="shared" ca="1" si="8"/>
        <v>185.42201346176171</v>
      </c>
      <c r="L52" s="413">
        <f t="shared" ca="1" si="9"/>
        <v>421.40012018928473</v>
      </c>
      <c r="M52" s="416">
        <f t="shared" ca="1" si="10"/>
        <v>5.004247001248757</v>
      </c>
    </row>
    <row r="53" spans="2:13" x14ac:dyDescent="0.2">
      <c r="B53" s="426">
        <f t="shared" si="11"/>
        <v>84</v>
      </c>
      <c r="C53" s="404">
        <f t="shared" si="1"/>
        <v>2.0366002695426551E-3</v>
      </c>
      <c r="D53" s="401">
        <f ca="1">MpropuPlein+0.25*MasseSans</f>
        <v>0.88365000000000005</v>
      </c>
      <c r="E53" s="401">
        <f t="shared" ca="1" si="2"/>
        <v>0.8458500000000001</v>
      </c>
      <c r="F53" s="401">
        <f t="shared" ca="1" si="3"/>
        <v>0.80805000000000005</v>
      </c>
      <c r="G53" s="408">
        <f t="shared" ca="1" si="4"/>
        <v>74.389326121652758</v>
      </c>
      <c r="H53" s="404">
        <f t="shared" ca="1" si="5"/>
        <v>2.4077558308714959E-3</v>
      </c>
      <c r="I53" s="404">
        <f t="shared" ca="1" si="6"/>
        <v>2.5203889233867396E-3</v>
      </c>
      <c r="J53" s="404">
        <f t="shared" ca="1" si="7"/>
        <v>133.80746859905764</v>
      </c>
      <c r="K53" s="411">
        <f t="shared" ca="1" si="8"/>
        <v>121.14194817251041</v>
      </c>
      <c r="L53" s="414">
        <f t="shared" ca="1" si="9"/>
        <v>443.76570017621498</v>
      </c>
      <c r="M53" s="417">
        <f t="shared" ca="1" si="10"/>
        <v>8.9652035667155872</v>
      </c>
    </row>
    <row r="54" spans="2:13" x14ac:dyDescent="0.2">
      <c r="B54" s="426">
        <f t="shared" si="11"/>
        <v>84</v>
      </c>
      <c r="C54" s="404">
        <f t="shared" si="1"/>
        <v>2.0366002695426551E-3</v>
      </c>
      <c r="D54" s="401">
        <f ca="1">MpropuPlein+0.5*MasseSans</f>
        <v>1.6073999999999999</v>
      </c>
      <c r="E54" s="401">
        <f t="shared" ca="1" si="2"/>
        <v>1.5695999999999999</v>
      </c>
      <c r="F54" s="401">
        <f t="shared" ca="1" si="3"/>
        <v>1.5318000000000001</v>
      </c>
      <c r="G54" s="408">
        <f t="shared" ca="1" si="4"/>
        <v>35.564617737003061</v>
      </c>
      <c r="H54" s="404">
        <f t="shared" ca="1" si="5"/>
        <v>1.2975282043467477E-3</v>
      </c>
      <c r="I54" s="404">
        <f t="shared" ca="1" si="6"/>
        <v>1.3295471142072432E-3</v>
      </c>
      <c r="J54" s="404">
        <f t="shared" ca="1" si="7"/>
        <v>69.043025584714144</v>
      </c>
      <c r="K54" s="411">
        <f t="shared" ca="1" si="8"/>
        <v>67.053454726460672</v>
      </c>
      <c r="L54" s="414">
        <f t="shared" ca="1" si="9"/>
        <v>247.99090976713791</v>
      </c>
      <c r="M54" s="417">
        <f t="shared" ca="1" si="10"/>
        <v>7.8036728355384275</v>
      </c>
    </row>
    <row r="55" spans="2:13" x14ac:dyDescent="0.2">
      <c r="B55" s="426">
        <f t="shared" si="11"/>
        <v>84</v>
      </c>
      <c r="C55" s="404">
        <f t="shared" si="1"/>
        <v>2.0366002695426551E-3</v>
      </c>
      <c r="D55" s="401">
        <f ca="1">MpropuPlein+0.75*MasseSans</f>
        <v>2.3311500000000001</v>
      </c>
      <c r="E55" s="401">
        <f t="shared" ca="1" si="2"/>
        <v>2.2933500000000002</v>
      </c>
      <c r="F55" s="401">
        <f t="shared" ca="1" si="3"/>
        <v>2.2555499999999999</v>
      </c>
      <c r="G55" s="408">
        <f t="shared" ca="1" si="4"/>
        <v>21.24500686768264</v>
      </c>
      <c r="H55" s="404">
        <f t="shared" ca="1" si="5"/>
        <v>8.8804598929193316E-4</v>
      </c>
      <c r="I55" s="404">
        <f t="shared" ca="1" si="6"/>
        <v>9.0292845183775807E-4</v>
      </c>
      <c r="J55" s="404">
        <f t="shared" ca="1" si="7"/>
        <v>41.966101737562255</v>
      </c>
      <c r="K55" s="411">
        <f t="shared" ca="1" si="8"/>
        <v>41.452469414368096</v>
      </c>
      <c r="L55" s="414">
        <f t="shared" ca="1" si="9"/>
        <v>123.27316388386774</v>
      </c>
      <c r="M55" s="417">
        <f t="shared" ca="1" si="10"/>
        <v>6.0217789608564409</v>
      </c>
    </row>
    <row r="56" spans="2:13" x14ac:dyDescent="0.2">
      <c r="B56" s="426">
        <f t="shared" si="11"/>
        <v>84</v>
      </c>
      <c r="C56" s="404">
        <f t="shared" si="1"/>
        <v>2.0366002695426551E-3</v>
      </c>
      <c r="D56" s="401">
        <f ca="1">MpropuPlein+1*MasseSans</f>
        <v>3.0548999999999999</v>
      </c>
      <c r="E56" s="401">
        <f t="shared" ca="1" si="2"/>
        <v>3.0171000000000001</v>
      </c>
      <c r="F56" s="401">
        <f t="shared" ca="1" si="3"/>
        <v>2.9792999999999998</v>
      </c>
      <c r="G56" s="408">
        <f t="shared" ca="1" si="4"/>
        <v>13.795448941036094</v>
      </c>
      <c r="H56" s="404">
        <f t="shared" ca="1" si="5"/>
        <v>6.7501914737418546E-4</v>
      </c>
      <c r="I56" s="404">
        <f t="shared" ca="1" si="6"/>
        <v>6.8358348254377044E-4</v>
      </c>
      <c r="J56" s="404">
        <f t="shared" ca="1" si="7"/>
        <v>27.421292446446063</v>
      </c>
      <c r="K56" s="411">
        <f t="shared" ca="1" si="8"/>
        <v>27.253350621353079</v>
      </c>
      <c r="L56" s="414">
        <f t="shared" ca="1" si="9"/>
        <v>64.330709628606471</v>
      </c>
      <c r="M56" s="417">
        <f t="shared" ca="1" si="10"/>
        <v>4.7316264864420692</v>
      </c>
    </row>
    <row r="57" spans="2:13" x14ac:dyDescent="0.2">
      <c r="B57" s="426">
        <f t="shared" si="11"/>
        <v>84</v>
      </c>
      <c r="C57" s="404">
        <f t="shared" si="1"/>
        <v>2.0366002695426551E-3</v>
      </c>
      <c r="D57" s="401">
        <f ca="1">MpropuPlein+1.25*MasseSans</f>
        <v>3.7786499999999998</v>
      </c>
      <c r="E57" s="401">
        <f t="shared" ca="1" si="2"/>
        <v>3.74085</v>
      </c>
      <c r="F57" s="401">
        <f t="shared" ca="1" si="3"/>
        <v>3.7030499999999997</v>
      </c>
      <c r="G57" s="408">
        <f t="shared" ca="1" si="4"/>
        <v>9.228453827338706</v>
      </c>
      <c r="H57" s="404">
        <f t="shared" ca="1" si="5"/>
        <v>5.4442179438968555E-4</v>
      </c>
      <c r="I57" s="404">
        <f t="shared" ca="1" si="6"/>
        <v>5.4997914409544979E-4</v>
      </c>
      <c r="J57" s="404">
        <f t="shared" ca="1" si="7"/>
        <v>18.395416504545249</v>
      </c>
      <c r="K57" s="411">
        <f t="shared" ca="1" si="8"/>
        <v>18.334252654095604</v>
      </c>
      <c r="L57" s="414">
        <f t="shared" ca="1" si="9"/>
        <v>35.368743751491778</v>
      </c>
      <c r="M57" s="417">
        <f t="shared" ca="1" si="10"/>
        <v>3.8573257894267909</v>
      </c>
    </row>
    <row r="58" spans="2:13" x14ac:dyDescent="0.2">
      <c r="B58" s="426">
        <f t="shared" si="11"/>
        <v>84</v>
      </c>
      <c r="C58" s="404">
        <f t="shared" si="1"/>
        <v>2.0366002695426551E-3</v>
      </c>
      <c r="D58" s="401">
        <f ca="1">MpropuPlein+1.5*MasseSans</f>
        <v>4.5024000000000006</v>
      </c>
      <c r="E58" s="401">
        <f t="shared" ca="1" si="2"/>
        <v>4.4646000000000008</v>
      </c>
      <c r="F58" s="401">
        <f t="shared" ca="1" si="3"/>
        <v>4.426800000000001</v>
      </c>
      <c r="G58" s="408">
        <f t="shared" ca="1" si="4"/>
        <v>6.1421569681494379</v>
      </c>
      <c r="H58" s="404">
        <f t="shared" ca="1" si="5"/>
        <v>4.5616634626677749E-4</v>
      </c>
      <c r="I58" s="404">
        <f t="shared" ca="1" si="6"/>
        <v>4.600615048212376E-4</v>
      </c>
      <c r="J58" s="404">
        <f t="shared" ca="1" si="7"/>
        <v>12.261436449013638</v>
      </c>
      <c r="K58" s="411">
        <f t="shared" ca="1" si="8"/>
        <v>12.238627074344944</v>
      </c>
      <c r="L58" s="414">
        <f t="shared" ca="1" si="9"/>
        <v>19.868998544218961</v>
      </c>
      <c r="M58" s="417">
        <f t="shared" ca="1" si="10"/>
        <v>3.244657564773461</v>
      </c>
    </row>
    <row r="59" spans="2:13" x14ac:dyDescent="0.2">
      <c r="B59" s="426">
        <f t="shared" si="11"/>
        <v>84</v>
      </c>
      <c r="C59" s="404">
        <f t="shared" si="1"/>
        <v>2.0366002695426551E-3</v>
      </c>
      <c r="D59" s="401">
        <f ca="1">MpropuPlein+1.75*MasseSans</f>
        <v>5.2261500000000005</v>
      </c>
      <c r="E59" s="401">
        <f t="shared" ca="1" si="2"/>
        <v>5.1883500000000007</v>
      </c>
      <c r="F59" s="401">
        <f t="shared" ca="1" si="3"/>
        <v>5.1505500000000008</v>
      </c>
      <c r="G59" s="408">
        <f t="shared" ca="1" si="4"/>
        <v>3.9169073983058169</v>
      </c>
      <c r="H59" s="404">
        <f t="shared" ca="1" si="5"/>
        <v>3.925333236082097E-4</v>
      </c>
      <c r="I59" s="404">
        <f t="shared" ca="1" si="6"/>
        <v>3.9541413432403428E-4</v>
      </c>
      <c r="J59" s="404">
        <f t="shared" ca="1" si="7"/>
        <v>7.8257981937276151</v>
      </c>
      <c r="K59" s="411">
        <f t="shared" ca="1" si="8"/>
        <v>7.8177947107465267</v>
      </c>
      <c r="L59" s="414">
        <f t="shared" ca="1" si="9"/>
        <v>10.937049758837574</v>
      </c>
      <c r="M59" s="417">
        <f t="shared" ca="1" si="10"/>
        <v>2.7962675314290095</v>
      </c>
    </row>
    <row r="60" spans="2:13" x14ac:dyDescent="0.2">
      <c r="B60" s="427">
        <f t="shared" si="11"/>
        <v>84</v>
      </c>
      <c r="C60" s="405">
        <f t="shared" si="1"/>
        <v>2.0366002695426551E-3</v>
      </c>
      <c r="D60" s="402">
        <f ca="1">MpropuPlein+2*MasseSans</f>
        <v>5.9499000000000004</v>
      </c>
      <c r="E60" s="402">
        <f t="shared" ca="1" si="2"/>
        <v>5.9121000000000006</v>
      </c>
      <c r="F60" s="402">
        <f t="shared" ca="1" si="3"/>
        <v>5.8743000000000007</v>
      </c>
      <c r="G60" s="409">
        <f t="shared" ca="1" si="4"/>
        <v>2.2364809458568011</v>
      </c>
      <c r="H60" s="405">
        <f t="shared" ca="1" si="5"/>
        <v>3.4448001040960995E-4</v>
      </c>
      <c r="I60" s="405">
        <f t="shared" ca="1" si="6"/>
        <v>3.4669667356836641E-4</v>
      </c>
      <c r="J60" s="405">
        <f t="shared" ca="1" si="7"/>
        <v>4.4706663961503734</v>
      </c>
      <c r="K60" s="412">
        <f t="shared" ca="1" si="8"/>
        <v>4.4683727850120132</v>
      </c>
      <c r="L60" s="415">
        <f t="shared" ca="1" si="9"/>
        <v>5.4879606973191937</v>
      </c>
      <c r="M60" s="418">
        <f t="shared" ca="1" si="10"/>
        <v>2.4553845278215909</v>
      </c>
    </row>
    <row r="61" spans="2:13" x14ac:dyDescent="0.2">
      <c r="B61" s="425">
        <f t="shared" ref="B61:B69" si="12">D_ref*1.5</f>
        <v>126</v>
      </c>
      <c r="C61" s="403">
        <f t="shared" si="1"/>
        <v>4.5823506064709748E-3</v>
      </c>
      <c r="D61" s="400">
        <f ca="1">MpropuPlein+0*MasseSans</f>
        <v>0.15989999999999999</v>
      </c>
      <c r="E61" s="400">
        <f t="shared" ca="1" si="2"/>
        <v>0.12209999999999999</v>
      </c>
      <c r="F61" s="400">
        <f t="shared" ca="1" si="3"/>
        <v>8.43E-2</v>
      </c>
      <c r="G61" s="407">
        <f t="shared" ca="1" si="4"/>
        <v>573.48238329238336</v>
      </c>
      <c r="H61" s="403">
        <f t="shared" ca="1" si="5"/>
        <v>3.7529488996486282E-2</v>
      </c>
      <c r="I61" s="403">
        <f t="shared" ca="1" si="6"/>
        <v>5.4357658439750593E-2</v>
      </c>
      <c r="J61" s="403">
        <f t="shared" ca="1" si="7"/>
        <v>228.76204633138835</v>
      </c>
      <c r="K61" s="410">
        <f t="shared" ca="1" si="8"/>
        <v>123.6157213781817</v>
      </c>
      <c r="L61" s="413">
        <f t="shared" ca="1" si="9"/>
        <v>269.6994657695717</v>
      </c>
      <c r="M61" s="416">
        <f t="shared" ca="1" si="10"/>
        <v>4.0028325784479488</v>
      </c>
    </row>
    <row r="62" spans="2:13" x14ac:dyDescent="0.2">
      <c r="B62" s="426">
        <f t="shared" si="12"/>
        <v>126</v>
      </c>
      <c r="C62" s="404">
        <f t="shared" si="1"/>
        <v>4.5823506064709748E-3</v>
      </c>
      <c r="D62" s="401">
        <f ca="1">MpropuPlein+0.25*MasseSans</f>
        <v>0.88365000000000005</v>
      </c>
      <c r="E62" s="401">
        <f t="shared" ca="1" si="2"/>
        <v>0.8458500000000001</v>
      </c>
      <c r="F62" s="401">
        <f t="shared" ca="1" si="3"/>
        <v>0.80805000000000005</v>
      </c>
      <c r="G62" s="408">
        <f t="shared" ca="1" si="4"/>
        <v>74.389326121652758</v>
      </c>
      <c r="H62" s="404">
        <f t="shared" ca="1" si="5"/>
        <v>5.417450619460867E-3</v>
      </c>
      <c r="I62" s="404">
        <f t="shared" ca="1" si="6"/>
        <v>5.6708750776201652E-3</v>
      </c>
      <c r="J62" s="404">
        <f t="shared" ca="1" si="7"/>
        <v>120.43705554372671</v>
      </c>
      <c r="K62" s="411">
        <f t="shared" ca="1" si="8"/>
        <v>100.03777503089147</v>
      </c>
      <c r="L62" s="414">
        <f t="shared" ca="1" si="9"/>
        <v>289.25805498598902</v>
      </c>
      <c r="M62" s="417">
        <f t="shared" ca="1" si="10"/>
        <v>6.9892374392497816</v>
      </c>
    </row>
    <row r="63" spans="2:13" x14ac:dyDescent="0.2">
      <c r="B63" s="426">
        <f t="shared" si="12"/>
        <v>126</v>
      </c>
      <c r="C63" s="404">
        <f t="shared" si="1"/>
        <v>4.5823506064709748E-3</v>
      </c>
      <c r="D63" s="401">
        <f ca="1">MpropuPlein+0.5*MasseSans</f>
        <v>1.6073999999999999</v>
      </c>
      <c r="E63" s="401">
        <f t="shared" ca="1" si="2"/>
        <v>1.5695999999999999</v>
      </c>
      <c r="F63" s="401">
        <f t="shared" ca="1" si="3"/>
        <v>1.5318000000000001</v>
      </c>
      <c r="G63" s="408">
        <f t="shared" ca="1" si="4"/>
        <v>35.564617737003061</v>
      </c>
      <c r="H63" s="404">
        <f t="shared" ca="1" si="5"/>
        <v>2.919438459780183E-3</v>
      </c>
      <c r="I63" s="404">
        <f t="shared" ca="1" si="6"/>
        <v>2.9914810069662976E-3</v>
      </c>
      <c r="J63" s="404">
        <f t="shared" ca="1" si="7"/>
        <v>66.690385317959539</v>
      </c>
      <c r="K63" s="411">
        <f t="shared" ca="1" si="8"/>
        <v>62.682691412456151</v>
      </c>
      <c r="L63" s="414">
        <f t="shared" ca="1" si="9"/>
        <v>198.3338345304322</v>
      </c>
      <c r="M63" s="417">
        <f t="shared" ca="1" si="10"/>
        <v>6.8481811158933992</v>
      </c>
    </row>
    <row r="64" spans="2:13" x14ac:dyDescent="0.2">
      <c r="B64" s="426">
        <f t="shared" si="12"/>
        <v>126</v>
      </c>
      <c r="C64" s="404">
        <f t="shared" si="1"/>
        <v>4.5823506064709748E-3</v>
      </c>
      <c r="D64" s="401">
        <f ca="1">MpropuPlein+0.75*MasseSans</f>
        <v>2.3311500000000001</v>
      </c>
      <c r="E64" s="401">
        <f t="shared" ca="1" si="2"/>
        <v>2.2933500000000002</v>
      </c>
      <c r="F64" s="401">
        <f t="shared" ca="1" si="3"/>
        <v>2.2555499999999999</v>
      </c>
      <c r="G64" s="408">
        <f t="shared" ca="1" si="4"/>
        <v>21.24500686768264</v>
      </c>
      <c r="H64" s="404">
        <f t="shared" ca="1" si="5"/>
        <v>1.9981034759068502E-3</v>
      </c>
      <c r="I64" s="404">
        <f t="shared" ca="1" si="6"/>
        <v>2.0315890166349559E-3</v>
      </c>
      <c r="J64" s="404">
        <f t="shared" ca="1" si="7"/>
        <v>41.339340820988618</v>
      </c>
      <c r="K64" s="411">
        <f t="shared" ca="1" si="8"/>
        <v>40.237932319254028</v>
      </c>
      <c r="L64" s="414">
        <f t="shared" ca="1" si="9"/>
        <v>112.50497695616369</v>
      </c>
      <c r="M64" s="417">
        <f t="shared" ca="1" si="10"/>
        <v>5.7179538076680743</v>
      </c>
    </row>
    <row r="65" spans="2:13" x14ac:dyDescent="0.2">
      <c r="B65" s="426">
        <f t="shared" si="12"/>
        <v>126</v>
      </c>
      <c r="C65" s="404">
        <f t="shared" si="1"/>
        <v>4.5823506064709748E-3</v>
      </c>
      <c r="D65" s="401">
        <f ca="1">MpropuPlein+1*MasseSans</f>
        <v>3.0548999999999999</v>
      </c>
      <c r="E65" s="401">
        <f t="shared" ca="1" si="2"/>
        <v>3.0171000000000001</v>
      </c>
      <c r="F65" s="401">
        <f t="shared" ca="1" si="3"/>
        <v>2.9792999999999998</v>
      </c>
      <c r="G65" s="408">
        <f t="shared" ca="1" si="4"/>
        <v>13.795448941036094</v>
      </c>
      <c r="H65" s="404">
        <f t="shared" ca="1" si="5"/>
        <v>1.5187930815919175E-3</v>
      </c>
      <c r="I65" s="404">
        <f t="shared" ca="1" si="6"/>
        <v>1.5380628357234837E-3</v>
      </c>
      <c r="J65" s="404">
        <f t="shared" ca="1" si="7"/>
        <v>27.213900266054502</v>
      </c>
      <c r="K65" s="411">
        <f t="shared" ca="1" si="8"/>
        <v>26.845094927800176</v>
      </c>
      <c r="L65" s="414">
        <f t="shared" ca="1" si="9"/>
        <v>62.013813727607108</v>
      </c>
      <c r="M65" s="417">
        <f t="shared" ca="1" si="10"/>
        <v>4.6399069772597787</v>
      </c>
    </row>
    <row r="66" spans="2:13" x14ac:dyDescent="0.2">
      <c r="B66" s="426">
        <f t="shared" si="12"/>
        <v>126</v>
      </c>
      <c r="C66" s="404">
        <f t="shared" si="1"/>
        <v>4.5823506064709748E-3</v>
      </c>
      <c r="D66" s="401">
        <f ca="1">MpropuPlein+1.25*MasseSans</f>
        <v>3.7786499999999998</v>
      </c>
      <c r="E66" s="401">
        <f t="shared" ca="1" si="2"/>
        <v>3.74085</v>
      </c>
      <c r="F66" s="401">
        <f t="shared" ca="1" si="3"/>
        <v>3.7030499999999997</v>
      </c>
      <c r="G66" s="408">
        <f t="shared" ca="1" si="4"/>
        <v>9.228453827338706</v>
      </c>
      <c r="H66" s="404">
        <f t="shared" ca="1" si="5"/>
        <v>1.2249490373767925E-3</v>
      </c>
      <c r="I66" s="404">
        <f t="shared" ca="1" si="6"/>
        <v>1.2374530742147623E-3</v>
      </c>
      <c r="J66" s="404">
        <f t="shared" ca="1" si="7"/>
        <v>18.319466184307405</v>
      </c>
      <c r="K66" s="411">
        <f t="shared" ca="1" si="8"/>
        <v>18.183656881730904</v>
      </c>
      <c r="L66" s="414">
        <f t="shared" ca="1" si="9"/>
        <v>34.829964553820496</v>
      </c>
      <c r="M66" s="417">
        <f t="shared" ca="1" si="10"/>
        <v>3.8284401368383616</v>
      </c>
    </row>
    <row r="67" spans="2:13" x14ac:dyDescent="0.2">
      <c r="B67" s="426">
        <f t="shared" si="12"/>
        <v>126</v>
      </c>
      <c r="C67" s="404">
        <f t="shared" si="1"/>
        <v>4.5823506064709748E-3</v>
      </c>
      <c r="D67" s="401">
        <f ca="1">MpropuPlein+1.5*MasseSans</f>
        <v>4.5024000000000006</v>
      </c>
      <c r="E67" s="401">
        <f t="shared" ca="1" si="2"/>
        <v>4.4646000000000008</v>
      </c>
      <c r="F67" s="401">
        <f t="shared" ca="1" si="3"/>
        <v>4.426800000000001</v>
      </c>
      <c r="G67" s="408">
        <f t="shared" ca="1" si="4"/>
        <v>6.1421569681494379</v>
      </c>
      <c r="H67" s="404">
        <f t="shared" ca="1" si="5"/>
        <v>1.0263742791002495E-3</v>
      </c>
      <c r="I67" s="404">
        <f t="shared" ca="1" si="6"/>
        <v>1.0351383858477848E-3</v>
      </c>
      <c r="J67" s="404">
        <f t="shared" ca="1" si="7"/>
        <v>12.233030348919698</v>
      </c>
      <c r="K67" s="411">
        <f t="shared" ca="1" si="8"/>
        <v>12.182088680408246</v>
      </c>
      <c r="L67" s="414">
        <f t="shared" ca="1" si="9"/>
        <v>19.738296750713538</v>
      </c>
      <c r="M67" s="417">
        <f t="shared" ca="1" si="10"/>
        <v>3.2353814248818766</v>
      </c>
    </row>
    <row r="68" spans="2:13" x14ac:dyDescent="0.2">
      <c r="B68" s="426">
        <f t="shared" si="12"/>
        <v>126</v>
      </c>
      <c r="C68" s="404">
        <f t="shared" si="1"/>
        <v>4.5823506064709748E-3</v>
      </c>
      <c r="D68" s="401">
        <f ca="1">MpropuPlein+1.75*MasseSans</f>
        <v>5.2261500000000005</v>
      </c>
      <c r="E68" s="401">
        <f t="shared" ca="1" si="2"/>
        <v>5.1883500000000007</v>
      </c>
      <c r="F68" s="401">
        <f t="shared" ca="1" si="3"/>
        <v>5.1505500000000008</v>
      </c>
      <c r="G68" s="408">
        <f t="shared" ca="1" si="4"/>
        <v>3.9169073983058169</v>
      </c>
      <c r="H68" s="404">
        <f t="shared" ca="1" si="5"/>
        <v>8.8319997811847194E-4</v>
      </c>
      <c r="I68" s="404">
        <f t="shared" ca="1" si="6"/>
        <v>8.8968180222907724E-4</v>
      </c>
      <c r="J68" s="404">
        <f t="shared" ca="1" si="7"/>
        <v>7.8158142541413715</v>
      </c>
      <c r="K68" s="411">
        <f t="shared" ca="1" si="8"/>
        <v>7.7978798230123756</v>
      </c>
      <c r="L68" s="414">
        <f t="shared" ca="1" si="9"/>
        <v>10.906531829103487</v>
      </c>
      <c r="M68" s="417">
        <f t="shared" ca="1" si="10"/>
        <v>2.7934345408998817</v>
      </c>
    </row>
    <row r="69" spans="2:13" x14ac:dyDescent="0.2">
      <c r="B69" s="427">
        <f t="shared" si="12"/>
        <v>126</v>
      </c>
      <c r="C69" s="405">
        <f t="shared" si="1"/>
        <v>4.5823506064709748E-3</v>
      </c>
      <c r="D69" s="402">
        <f ca="1">MpropuPlein+2*MasseSans</f>
        <v>5.9499000000000004</v>
      </c>
      <c r="E69" s="402">
        <f t="shared" ca="1" si="2"/>
        <v>5.9121000000000006</v>
      </c>
      <c r="F69" s="402">
        <f t="shared" ca="1" si="3"/>
        <v>5.8743000000000007</v>
      </c>
      <c r="G69" s="409">
        <f t="shared" ca="1" si="4"/>
        <v>2.2364809458568011</v>
      </c>
      <c r="H69" s="405">
        <f t="shared" ca="1" si="5"/>
        <v>7.7508002342162254E-4</v>
      </c>
      <c r="I69" s="405">
        <f t="shared" ca="1" si="6"/>
        <v>7.8006751552882456E-4</v>
      </c>
      <c r="J69" s="405">
        <f t="shared" ca="1" si="7"/>
        <v>4.4678023204592536</v>
      </c>
      <c r="K69" s="412">
        <f t="shared" ca="1" si="8"/>
        <v>4.4626522668650477</v>
      </c>
      <c r="L69" s="415">
        <f t="shared" ca="1" si="9"/>
        <v>5.4820486425134689</v>
      </c>
      <c r="M69" s="418">
        <f t="shared" ca="1" si="10"/>
        <v>2.4546685827453394</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
      </c>
      <c r="N4" s="75"/>
      <c r="O4" s="6"/>
      <c r="P4" s="273"/>
      <c r="Q4" s="436"/>
      <c r="R4" s="48"/>
      <c r="S4" s="48"/>
      <c r="T4" s="48"/>
      <c r="U4" s="48"/>
    </row>
    <row r="5" spans="2:21" ht="15.75" customHeight="1" x14ac:dyDescent="0.2">
      <c r="B5" s="74"/>
      <c r="D5" t="s">
        <v>462</v>
      </c>
      <c r="E5" t="str">
        <f>Propu</f>
        <v>Pandora (Pro24-6G BS)</v>
      </c>
      <c r="G5" t="s">
        <v>459</v>
      </c>
      <c r="H5">
        <f>MasseSans</f>
        <v>2.895</v>
      </c>
      <c r="N5" s="75"/>
      <c r="O5" s="6"/>
      <c r="P5" s="273"/>
      <c r="Q5" s="436"/>
      <c r="R5" s="48"/>
      <c r="S5" s="48"/>
      <c r="T5" s="48"/>
      <c r="U5" s="48"/>
    </row>
    <row r="6" spans="2:21" x14ac:dyDescent="0.2">
      <c r="B6" s="74"/>
      <c r="D6" t="s">
        <v>455</v>
      </c>
      <c r="E6" s="2" t="str">
        <f>Trajecto!H34</f>
        <v>Brun/Orange…</v>
      </c>
      <c r="G6" t="s">
        <v>460</v>
      </c>
      <c r="H6">
        <f>D_ref</f>
        <v>84</v>
      </c>
      <c r="N6" s="75"/>
      <c r="O6" s="6"/>
      <c r="P6" s="273"/>
      <c r="Q6" s="436"/>
      <c r="R6" s="48"/>
      <c r="S6" s="48"/>
      <c r="T6" s="48"/>
      <c r="U6" s="48"/>
    </row>
    <row r="7" spans="2:21" x14ac:dyDescent="0.2">
      <c r="B7" s="74"/>
      <c r="D7" t="s">
        <v>457</v>
      </c>
      <c r="E7" s="2" t="str">
        <f>Trajecto!H35</f>
        <v>Rouge…</v>
      </c>
      <c r="G7" t="s">
        <v>5</v>
      </c>
      <c r="H7">
        <f>Cx</f>
        <v>0.6</v>
      </c>
      <c r="N7" s="75"/>
      <c r="O7" s="6"/>
      <c r="P7" s="273"/>
      <c r="Q7" s="436"/>
      <c r="R7" s="48"/>
      <c r="S7" s="48"/>
      <c r="T7" s="48"/>
      <c r="U7" s="48"/>
    </row>
    <row r="8" spans="2:21" x14ac:dyDescent="0.2">
      <c r="B8" s="74"/>
      <c r="D8" t="s">
        <v>458</v>
      </c>
      <c r="E8" s="2">
        <f>S_para</f>
        <v>0.3125</v>
      </c>
      <c r="G8" t="s">
        <v>461</v>
      </c>
      <c r="H8">
        <f>L_rampe</f>
        <v>2.5</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2.895</v>
      </c>
      <c r="F11" s="246" t="s">
        <v>123</v>
      </c>
      <c r="G11" s="246" t="s">
        <v>125</v>
      </c>
      <c r="H11" s="672" t="e">
        <f ca="1">Vsortie_de_rampe</f>
        <v>#N/A</v>
      </c>
      <c r="I11" s="673"/>
      <c r="J11" s="76"/>
      <c r="N11" s="75"/>
      <c r="P11" s="48"/>
      <c r="Q11" s="436"/>
      <c r="R11" s="48"/>
      <c r="S11" s="48"/>
      <c r="T11" s="48"/>
      <c r="U11" s="440">
        <f>IF(RIGHT(Nb_diam,1)=",", "", X_j)</f>
        <v>0</v>
      </c>
    </row>
    <row r="12" spans="2:21" ht="13.5" thickBot="1" x14ac:dyDescent="0.25">
      <c r="B12" s="74"/>
      <c r="C12" s="12"/>
      <c r="D12" s="276"/>
      <c r="E12" s="244"/>
      <c r="F12" s="6" t="s">
        <v>123</v>
      </c>
      <c r="G12" s="6" t="s">
        <v>126</v>
      </c>
      <c r="H12" s="674">
        <f>Finesse</f>
        <v>11.80952380952381</v>
      </c>
      <c r="I12" s="675"/>
      <c r="J12" s="76"/>
      <c r="N12" s="75"/>
      <c r="O12" s="6"/>
      <c r="P12" s="273" t="s">
        <v>341</v>
      </c>
      <c r="Q12" s="441">
        <f>D_og</f>
        <v>84</v>
      </c>
      <c r="R12" s="48"/>
      <c r="S12" s="48"/>
      <c r="T12" s="48"/>
      <c r="U12" s="436"/>
    </row>
    <row r="13" spans="2:21" x14ac:dyDescent="0.2">
      <c r="B13" s="74"/>
      <c r="C13" s="12"/>
      <c r="D13" s="276" t="s">
        <v>5</v>
      </c>
      <c r="E13" s="244">
        <f>Cx</f>
        <v>0.6</v>
      </c>
      <c r="F13" s="6" t="s">
        <v>123</v>
      </c>
      <c r="G13" s="6" t="s">
        <v>433</v>
      </c>
      <c r="H13" s="674">
        <f>Cn</f>
        <v>15.602161052846441</v>
      </c>
      <c r="I13" s="675"/>
      <c r="J13" s="76"/>
      <c r="N13" s="75"/>
      <c r="O13" s="6"/>
      <c r="P13" s="48"/>
      <c r="Q13" s="436"/>
      <c r="R13" s="48"/>
      <c r="S13" s="48"/>
      <c r="T13" s="48"/>
      <c r="U13" s="440">
        <f>IF(RIGHT(Nb_diam,1)=",", "", X_r)</f>
        <v>0</v>
      </c>
    </row>
    <row r="14" spans="2:21" x14ac:dyDescent="0.2">
      <c r="B14" s="74"/>
      <c r="C14" s="12"/>
      <c r="D14" s="276" t="s">
        <v>143</v>
      </c>
      <c r="E14" s="244">
        <f>L_rampe</f>
        <v>2.5</v>
      </c>
      <c r="F14" s="6" t="s">
        <v>123</v>
      </c>
      <c r="G14" s="6" t="s">
        <v>127</v>
      </c>
      <c r="H14" s="247">
        <f ca="1">MS_min</f>
        <v>2.6598770163626191</v>
      </c>
      <c r="I14" s="254">
        <f ca="1">MS_max</f>
        <v>2.7451862629500878</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41.499829590054247</v>
      </c>
      <c r="I15" s="254">
        <f ca="1">MS_Cn_max</f>
        <v>42.83083819460893</v>
      </c>
      <c r="J15" s="76"/>
      <c r="K15" s="76"/>
      <c r="N15" s="75"/>
      <c r="P15" s="48"/>
      <c r="Q15" s="436"/>
      <c r="R15" s="48"/>
      <c r="S15" s="48"/>
      <c r="T15" s="48"/>
    </row>
    <row r="16" spans="2:21" x14ac:dyDescent="0.2">
      <c r="B16" s="74"/>
      <c r="C16" s="12"/>
      <c r="D16" s="276" t="s">
        <v>145</v>
      </c>
      <c r="E16" s="244">
        <f>Q_ail</f>
        <v>4</v>
      </c>
      <c r="F16" s="6" t="s">
        <v>128</v>
      </c>
      <c r="G16" s="6" t="s">
        <v>129</v>
      </c>
      <c r="H16" s="247">
        <f ca="1">V_para</f>
        <v>12.357014737568688</v>
      </c>
      <c r="I16" s="253">
        <f>V_satellite</f>
        <v>10.960038730752361</v>
      </c>
      <c r="J16" s="76"/>
      <c r="N16" s="75"/>
      <c r="P16" s="48"/>
      <c r="Q16" s="436"/>
      <c r="R16" s="48"/>
      <c r="S16" s="48"/>
      <c r="T16" s="48"/>
      <c r="U16" s="440">
        <f>IF(RIGHT(Nb_diam,1)=",", "", l_j)</f>
        <v>0</v>
      </c>
    </row>
    <row r="17" spans="2:21" x14ac:dyDescent="0.2">
      <c r="B17" s="74"/>
      <c r="C17" s="12"/>
      <c r="D17" s="276" t="s">
        <v>146</v>
      </c>
      <c r="E17" s="272" t="str">
        <f>Forme_ogive</f>
        <v>Conique (droite)</v>
      </c>
      <c r="F17" s="6" t="s">
        <v>130</v>
      </c>
      <c r="G17" s="6" t="s">
        <v>131</v>
      </c>
      <c r="H17" s="674">
        <f>T_para</f>
        <v>16.399999999999999</v>
      </c>
      <c r="I17" s="675"/>
      <c r="J17" s="258"/>
      <c r="N17" s="75"/>
      <c r="P17" s="434" t="s">
        <v>342</v>
      </c>
      <c r="Q17" s="440">
        <f>IF(RIGHT(Nb_diam,1)=",", "", D2j)</f>
        <v>0</v>
      </c>
      <c r="R17" s="48"/>
      <c r="S17" s="48"/>
      <c r="T17" s="48"/>
      <c r="U17" s="436"/>
    </row>
    <row r="18" spans="2:21" x14ac:dyDescent="0.2">
      <c r="B18" s="74"/>
      <c r="C18" s="12"/>
      <c r="D18" s="276" t="s">
        <v>148</v>
      </c>
      <c r="E18" s="244">
        <f ca="1">XpropuRef-Long_propu</f>
        <v>714</v>
      </c>
      <c r="F18" s="12" t="s">
        <v>130</v>
      </c>
      <c r="G18" s="12" t="s">
        <v>427</v>
      </c>
      <c r="H18" s="602">
        <f ca="1">T_para-Combustion-Depotage</f>
        <v>2.4299999999999979</v>
      </c>
      <c r="I18" s="680"/>
      <c r="N18" s="75"/>
      <c r="P18" s="48"/>
      <c r="Q18" s="436"/>
      <c r="R18" s="48"/>
      <c r="S18" s="48"/>
    </row>
    <row r="19" spans="2:21" x14ac:dyDescent="0.2">
      <c r="B19" s="74"/>
      <c r="C19" s="531"/>
      <c r="D19" s="269"/>
      <c r="E19" s="271"/>
      <c r="F19" s="519" t="s">
        <v>132</v>
      </c>
      <c r="G19" s="274" t="s">
        <v>426</v>
      </c>
      <c r="H19" s="681">
        <f ca="1">Portee_balistique</f>
        <v>839.7136314269211</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530</v>
      </c>
      <c r="E23" s="527" t="s">
        <v>38</v>
      </c>
      <c r="F23" s="528">
        <f>m_ail</f>
        <v>170</v>
      </c>
      <c r="G23" s="526">
        <f>m_can</f>
        <v>180</v>
      </c>
      <c r="I23" s="529" t="s">
        <v>448</v>
      </c>
      <c r="J23" s="528">
        <f>l_j</f>
        <v>0</v>
      </c>
      <c r="K23" s="526">
        <f>l_r</f>
        <v>0</v>
      </c>
      <c r="N23" s="75"/>
      <c r="O23" s="273"/>
      <c r="P23" s="436"/>
      <c r="Q23" s="48"/>
      <c r="R23" s="48"/>
      <c r="S23" s="48"/>
      <c r="T23" s="226"/>
      <c r="U23" s="436"/>
    </row>
    <row r="24" spans="2:21" x14ac:dyDescent="0.2">
      <c r="B24" s="74"/>
      <c r="C24" s="526" t="s">
        <v>440</v>
      </c>
      <c r="D24" s="526">
        <f>Long_tot</f>
        <v>992</v>
      </c>
      <c r="E24" s="527" t="s">
        <v>443</v>
      </c>
      <c r="F24" s="528">
        <f>n_ail</f>
        <v>80</v>
      </c>
      <c r="G24" s="526">
        <f>n_can</f>
        <v>80</v>
      </c>
      <c r="I24" s="529" t="s">
        <v>449</v>
      </c>
      <c r="J24" s="528">
        <f>D1j</f>
        <v>0</v>
      </c>
      <c r="K24" s="526">
        <f>D1r</f>
        <v>0</v>
      </c>
      <c r="N24" s="75"/>
      <c r="O24" s="273"/>
      <c r="P24" s="436"/>
      <c r="Q24" s="48"/>
      <c r="R24" s="48"/>
      <c r="S24" s="48"/>
      <c r="T24" s="226"/>
      <c r="U24" s="436"/>
    </row>
    <row r="25" spans="2:21" x14ac:dyDescent="0.2">
      <c r="B25" s="74"/>
      <c r="C25" s="526" t="s">
        <v>441</v>
      </c>
      <c r="D25" s="526">
        <f>XpropuRef</f>
        <v>942</v>
      </c>
      <c r="E25" s="527" t="s">
        <v>444</v>
      </c>
      <c r="F25" s="528">
        <f>p_ail</f>
        <v>120</v>
      </c>
      <c r="G25" s="526">
        <f>p_can</f>
        <v>160</v>
      </c>
      <c r="I25" s="529" t="s">
        <v>450</v>
      </c>
      <c r="J25" s="528">
        <f>D2j</f>
        <v>0</v>
      </c>
      <c r="K25" s="526">
        <f>D2r</f>
        <v>0</v>
      </c>
      <c r="N25" s="75"/>
      <c r="O25" s="273"/>
      <c r="P25" s="436"/>
      <c r="Q25" s="48"/>
      <c r="R25" s="48"/>
      <c r="S25" s="48"/>
      <c r="T25" s="226"/>
      <c r="U25" s="436"/>
    </row>
    <row r="26" spans="2:21" x14ac:dyDescent="0.2">
      <c r="B26" s="74"/>
      <c r="C26" s="526" t="s">
        <v>438</v>
      </c>
      <c r="D26" s="526">
        <f>D_ref</f>
        <v>84</v>
      </c>
      <c r="E26" s="527" t="s">
        <v>445</v>
      </c>
      <c r="F26" s="528">
        <f>E_ail</f>
        <v>107</v>
      </c>
      <c r="G26" s="526">
        <f>E_can</f>
        <v>110</v>
      </c>
      <c r="I26" s="529" t="s">
        <v>451</v>
      </c>
      <c r="J26" s="528">
        <f>X_j</f>
        <v>0</v>
      </c>
      <c r="K26" s="526">
        <f>X_r</f>
        <v>0</v>
      </c>
      <c r="N26" s="75"/>
      <c r="O26" s="273"/>
      <c r="P26" s="436"/>
      <c r="Q26" s="48"/>
      <c r="R26" s="48"/>
      <c r="S26" s="48"/>
      <c r="T26" s="226"/>
      <c r="U26" s="436"/>
    </row>
    <row r="27" spans="2:21" x14ac:dyDescent="0.2">
      <c r="B27" s="74"/>
      <c r="C27" s="526" t="s">
        <v>439</v>
      </c>
      <c r="D27" s="526">
        <f>Long_ogive</f>
        <v>252</v>
      </c>
      <c r="E27" s="527" t="s">
        <v>446</v>
      </c>
      <c r="F27" s="528">
        <f>X_ail</f>
        <v>942</v>
      </c>
      <c r="G27" s="526">
        <f>X_can</f>
        <v>1250</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430</v>
      </c>
      <c r="P29" s="441">
        <f>n_ail</f>
        <v>80</v>
      </c>
      <c r="Q29" s="2"/>
      <c r="R29" s="48"/>
      <c r="S29" s="48"/>
      <c r="T29" s="48"/>
      <c r="U29" s="12" t="s">
        <v>434</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432</v>
      </c>
      <c r="U30" s="523">
        <f>[0]!p_can</f>
        <v>160</v>
      </c>
    </row>
    <row r="31" spans="2:21" ht="13.5" thickBot="1" x14ac:dyDescent="0.25">
      <c r="B31" s="74"/>
      <c r="C31" s="83">
        <f>Beta_rampe</f>
        <v>75.426997324279156</v>
      </c>
      <c r="D31" s="84">
        <f ca="1">Portee_balistique</f>
        <v>839.7136314269211</v>
      </c>
      <c r="E31" s="676">
        <f ca="1">T_para+Dt_para</f>
        <v>132.87423108516685</v>
      </c>
      <c r="F31" s="676"/>
      <c r="G31" s="676"/>
      <c r="H31" s="679">
        <f ca="1">Altitude_culmi</f>
        <v>1439.2737900663878</v>
      </c>
      <c r="I31" s="679"/>
      <c r="J31" s="85">
        <f ca="1">Temps_culmi</f>
        <v>16.399999999999928</v>
      </c>
      <c r="K31" s="86">
        <f ca="1">Vit_culmi</f>
        <v>24.352877273600257</v>
      </c>
      <c r="L31" s="84">
        <f ca="1">Acc_max</f>
        <v>50.92609571122825</v>
      </c>
      <c r="M31" s="86">
        <f ca="1">Vit_max</f>
        <v>173.68990099903891</v>
      </c>
      <c r="N31" s="75"/>
      <c r="O31" s="273" t="s">
        <v>436</v>
      </c>
      <c r="P31" s="441">
        <f>ep_ail</f>
        <v>3</v>
      </c>
      <c r="Q31" s="2"/>
      <c r="R31" s="48"/>
      <c r="S31" s="48"/>
      <c r="T31" s="226" t="s">
        <v>344</v>
      </c>
      <c r="U31" s="523">
        <f>[0]!m_can</f>
        <v>180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110</v>
      </c>
    </row>
    <row r="34" spans="2:21" ht="13.5" thickBot="1" x14ac:dyDescent="0.25">
      <c r="B34" s="77"/>
      <c r="C34" s="78"/>
      <c r="D34" s="78"/>
      <c r="E34" s="78"/>
      <c r="F34" s="78"/>
      <c r="G34" s="78"/>
      <c r="H34" s="78"/>
      <c r="I34" s="78"/>
      <c r="J34" s="78"/>
      <c r="K34" s="78"/>
      <c r="L34" s="78"/>
      <c r="M34" s="78"/>
      <c r="N34" s="79"/>
      <c r="O34" s="2"/>
      <c r="P34" s="273" t="s">
        <v>431</v>
      </c>
      <c r="Q34" s="441">
        <f>E_ail</f>
        <v>107</v>
      </c>
      <c r="T34" s="226" t="s">
        <v>436</v>
      </c>
      <c r="U34" s="523">
        <f>[0]!ep_can</f>
        <v>4</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
      </c>
      <c r="N38" s="75"/>
    </row>
    <row r="39" spans="2:21" x14ac:dyDescent="0.2">
      <c r="B39" s="74"/>
      <c r="D39" s="2"/>
      <c r="N39" s="75"/>
    </row>
    <row r="40" spans="2:21" x14ac:dyDescent="0.2">
      <c r="B40" s="74"/>
      <c r="D40" s="275" t="s">
        <v>149</v>
      </c>
      <c r="E40" s="246">
        <f>D_ref</f>
        <v>84</v>
      </c>
      <c r="F40" s="265"/>
      <c r="G40" s="265"/>
      <c r="H40" s="261" t="s">
        <v>198</v>
      </c>
      <c r="I40" s="261" t="s">
        <v>199</v>
      </c>
      <c r="J40" s="262" t="s">
        <v>200</v>
      </c>
      <c r="N40" s="75"/>
    </row>
    <row r="41" spans="2:21" x14ac:dyDescent="0.2">
      <c r="B41" s="74"/>
      <c r="D41" s="276" t="s">
        <v>147</v>
      </c>
      <c r="E41" s="6">
        <f>Long_ogive</f>
        <v>252</v>
      </c>
      <c r="F41" s="2"/>
      <c r="G41" s="2" t="s">
        <v>201</v>
      </c>
      <c r="H41" s="6">
        <f>MasseSans</f>
        <v>2.895</v>
      </c>
      <c r="I41" s="6">
        <f ca="1">MasseVide</f>
        <v>2.9792999999999998</v>
      </c>
      <c r="J41" s="244">
        <f ca="1">MassePlein</f>
        <v>3.0548999999999999</v>
      </c>
      <c r="N41" s="75"/>
    </row>
    <row r="42" spans="2:21" x14ac:dyDescent="0.2">
      <c r="B42" s="74"/>
      <c r="D42" s="276" t="s">
        <v>150</v>
      </c>
      <c r="E42" s="6">
        <f>X_ail-m_ail</f>
        <v>772</v>
      </c>
      <c r="F42" s="255"/>
      <c r="G42" s="255" t="s">
        <v>218</v>
      </c>
      <c r="H42" s="263">
        <f>XcgSans</f>
        <v>530</v>
      </c>
      <c r="I42" s="263">
        <f ca="1">XcgVide</f>
        <v>538.43198066659954</v>
      </c>
      <c r="J42" s="245">
        <f ca="1">XcgPlein</f>
        <v>545.59795737994693</v>
      </c>
      <c r="N42" s="75"/>
    </row>
    <row r="43" spans="2:21" x14ac:dyDescent="0.2">
      <c r="B43" s="74"/>
      <c r="D43" s="276" t="str">
        <f>IF(Lang="Français","Emplanture 'm'",IF(Lang="English","Root edge  'm'",""))</f>
        <v>Emplanture 'm'</v>
      </c>
      <c r="E43" s="244">
        <f>m_ail</f>
        <v>170</v>
      </c>
      <c r="N43" s="75"/>
    </row>
    <row r="44" spans="2:21" x14ac:dyDescent="0.2">
      <c r="B44" s="74"/>
      <c r="D44" s="276" t="str">
        <f>IF(Lang="Français","Saumon      'n'",IF(Lang="English","Tip edge    'n'",""))</f>
        <v>Saumon      'n'</v>
      </c>
      <c r="E44" s="244">
        <f>n_ail</f>
        <v>80</v>
      </c>
      <c r="F44" s="246" t="s">
        <v>202</v>
      </c>
      <c r="G44" s="246" t="s">
        <v>207</v>
      </c>
      <c r="H44" s="672" t="e">
        <f ca="1">Vsortie_de_rampe</f>
        <v>#N/A</v>
      </c>
      <c r="I44" s="673"/>
      <c r="N44" s="75"/>
    </row>
    <row r="45" spans="2:21" x14ac:dyDescent="0.2">
      <c r="B45" s="74"/>
      <c r="D45" s="276" t="str">
        <f>IF(Lang="Français","Flèche        'p'",IF(Lang="English","Offset         'p'",""))</f>
        <v>Flèche        'p'</v>
      </c>
      <c r="E45" s="244">
        <f>p_ail</f>
        <v>120</v>
      </c>
      <c r="F45" s="6" t="s">
        <v>203</v>
      </c>
      <c r="G45" s="6" t="s">
        <v>208</v>
      </c>
      <c r="H45" s="674">
        <f>Finesse</f>
        <v>11.80952380952381</v>
      </c>
      <c r="I45" s="675"/>
      <c r="N45" s="75"/>
    </row>
    <row r="46" spans="2:21" x14ac:dyDescent="0.2">
      <c r="B46" s="74"/>
      <c r="D46" s="276" t="str">
        <f>IF(Lang="Français","Envergure   'E'",IF(Lang="English","Span          'E'",""))</f>
        <v>Envergure   'E'</v>
      </c>
      <c r="E46" s="244">
        <f>E_ail</f>
        <v>107</v>
      </c>
      <c r="F46" s="6" t="s">
        <v>204</v>
      </c>
      <c r="G46" s="6" t="s">
        <v>209</v>
      </c>
      <c r="H46" s="674">
        <f>Cn</f>
        <v>15.602161052846441</v>
      </c>
      <c r="I46" s="675"/>
      <c r="N46" s="75"/>
    </row>
    <row r="47" spans="2:21" x14ac:dyDescent="0.2">
      <c r="B47" s="74"/>
      <c r="D47" s="276" t="s">
        <v>144</v>
      </c>
      <c r="E47" s="244">
        <f>ep_ail</f>
        <v>3</v>
      </c>
      <c r="F47" s="6" t="s">
        <v>205</v>
      </c>
      <c r="G47" s="6" t="s">
        <v>210</v>
      </c>
      <c r="H47" s="247">
        <f ca="1">MS_min</f>
        <v>2.6598770163626191</v>
      </c>
      <c r="I47" s="254">
        <f ca="1">MS_max</f>
        <v>2.7451862629500878</v>
      </c>
      <c r="N47" s="75"/>
    </row>
    <row r="48" spans="2:21" x14ac:dyDescent="0.2">
      <c r="B48" s="74"/>
      <c r="D48" s="276" t="s">
        <v>145</v>
      </c>
      <c r="E48" s="244">
        <f>Q_ail</f>
        <v>4</v>
      </c>
      <c r="F48" s="274" t="s">
        <v>206</v>
      </c>
      <c r="G48" s="274" t="s">
        <v>211</v>
      </c>
      <c r="H48" s="256">
        <f ca="1">MS_Cn_min</f>
        <v>41.499829590054247</v>
      </c>
      <c r="I48" s="264">
        <f ca="1">MS_Cn_max</f>
        <v>42.83083819460893</v>
      </c>
      <c r="N48" s="75"/>
    </row>
    <row r="49" spans="2:14" x14ac:dyDescent="0.2">
      <c r="B49" s="74"/>
      <c r="D49" s="276" t="s">
        <v>148</v>
      </c>
      <c r="E49" s="244">
        <f ca="1">XpropuRef-Long_propu</f>
        <v>714</v>
      </c>
      <c r="N49" s="75"/>
    </row>
    <row r="50" spans="2:14" x14ac:dyDescent="0.2">
      <c r="B50" s="74"/>
      <c r="D50" s="276" t="s">
        <v>146</v>
      </c>
      <c r="E50" s="272" t="str">
        <f>Forme_ogive</f>
        <v>Conique (droite)</v>
      </c>
      <c r="F50" s="273" t="s">
        <v>183</v>
      </c>
      <c r="G50" s="275" t="s">
        <v>5</v>
      </c>
      <c r="H50" s="246">
        <f>Cx</f>
        <v>0.6</v>
      </c>
      <c r="I50" s="265"/>
      <c r="J50" s="266"/>
      <c r="N50" s="75"/>
    </row>
    <row r="51" spans="2:14" x14ac:dyDescent="0.2">
      <c r="B51" s="74"/>
      <c r="D51" s="276" t="s">
        <v>142</v>
      </c>
      <c r="E51" s="244">
        <f>Long_tot</f>
        <v>992</v>
      </c>
      <c r="G51" s="276" t="s">
        <v>212</v>
      </c>
      <c r="H51" s="6">
        <f>Sref</f>
        <v>6.8257694409323945E-3</v>
      </c>
      <c r="J51" s="267"/>
      <c r="N51" s="75"/>
    </row>
    <row r="52" spans="2:14" x14ac:dyDescent="0.2">
      <c r="B52" s="74"/>
      <c r="D52" s="276" t="s">
        <v>196</v>
      </c>
      <c r="E52" s="244">
        <f>MAX(D_ref,D_ail,D_og,(RIGHT(Nb_diam,1)=",")*MAX(D1j,D1r,D2j,D2r))</f>
        <v>84</v>
      </c>
      <c r="G52" s="276" t="s">
        <v>213</v>
      </c>
      <c r="H52" s="6">
        <f>Beta_rampe</f>
        <v>75.426997324279156</v>
      </c>
      <c r="I52" s="6">
        <v>80</v>
      </c>
      <c r="J52" s="244">
        <v>90</v>
      </c>
      <c r="N52" s="75"/>
    </row>
    <row r="53" spans="2:14" x14ac:dyDescent="0.2">
      <c r="B53" s="74"/>
      <c r="D53" s="277" t="s">
        <v>197</v>
      </c>
      <c r="E53" s="260">
        <f>E_ail*2+D_ail</f>
        <v>298</v>
      </c>
      <c r="G53" s="278" t="s">
        <v>215</v>
      </c>
      <c r="H53" s="247">
        <f ca="1">Temps_culmi</f>
        <v>16.399999999999928</v>
      </c>
      <c r="I53" s="259"/>
      <c r="J53" s="268"/>
      <c r="N53" s="75"/>
    </row>
    <row r="54" spans="2:14" x14ac:dyDescent="0.2">
      <c r="B54" s="74"/>
      <c r="G54" s="278" t="s">
        <v>216</v>
      </c>
      <c r="H54" s="242">
        <f ca="1">Altitude_culmi</f>
        <v>1439.2737900663878</v>
      </c>
      <c r="I54" s="259"/>
      <c r="J54" s="268"/>
      <c r="N54" s="75"/>
    </row>
    <row r="55" spans="2:14" x14ac:dyDescent="0.2">
      <c r="B55" s="74"/>
      <c r="C55" s="275" t="s">
        <v>233</v>
      </c>
      <c r="D55" s="249" t="s">
        <v>60</v>
      </c>
      <c r="E55" s="243">
        <f>Long_tot</f>
        <v>992</v>
      </c>
      <c r="G55" s="278" t="s">
        <v>217</v>
      </c>
      <c r="H55" s="248">
        <f ca="1">Vit_culmi</f>
        <v>24.352877273600257</v>
      </c>
      <c r="I55" s="259"/>
      <c r="J55" s="268"/>
      <c r="N55" s="75"/>
    </row>
    <row r="56" spans="2:14" x14ac:dyDescent="0.2">
      <c r="B56" s="74"/>
      <c r="C56" s="276"/>
      <c r="D56" s="2" t="s">
        <v>219</v>
      </c>
      <c r="E56" s="244">
        <f>MAX(D_ref,D_ail,D_og,(RIGHT(Nb_diam,1)=",")*MAX(D1j,D1r,D2j,D2r))</f>
        <v>84</v>
      </c>
      <c r="G56" s="278" t="s">
        <v>133</v>
      </c>
      <c r="H56" s="242">
        <f ca="1">Portee_balistique</f>
        <v>839.7136314269211</v>
      </c>
      <c r="I56" s="259"/>
      <c r="J56" s="268"/>
      <c r="N56" s="75"/>
    </row>
    <row r="57" spans="2:14" x14ac:dyDescent="0.2">
      <c r="B57" s="74"/>
      <c r="C57" s="276"/>
      <c r="D57" s="2" t="s">
        <v>220</v>
      </c>
      <c r="E57" s="244">
        <f>E_ail*2+D_ail</f>
        <v>298</v>
      </c>
      <c r="G57" s="278" t="s">
        <v>214</v>
      </c>
      <c r="H57" s="242">
        <f ca="1">T_balistique</f>
        <v>37.00000000000022</v>
      </c>
      <c r="I57" s="259"/>
      <c r="J57" s="268"/>
      <c r="N57" s="75"/>
    </row>
    <row r="58" spans="2:14" x14ac:dyDescent="0.2">
      <c r="B58" s="74"/>
      <c r="C58" s="276"/>
      <c r="D58" s="2" t="s">
        <v>221</v>
      </c>
      <c r="E58" s="244">
        <f ca="1">MassePlein</f>
        <v>3.0548999999999999</v>
      </c>
      <c r="G58" s="278" t="s">
        <v>137</v>
      </c>
      <c r="H58" s="248">
        <f ca="1">Vit_max</f>
        <v>173.68990099903891</v>
      </c>
      <c r="I58" s="259"/>
      <c r="J58" s="268"/>
      <c r="N58" s="75"/>
    </row>
    <row r="59" spans="2:14" x14ac:dyDescent="0.2">
      <c r="B59" s="74"/>
      <c r="C59" s="277" t="s">
        <v>234</v>
      </c>
      <c r="D59" s="255" t="s">
        <v>145</v>
      </c>
      <c r="E59" s="260">
        <f>Q_ail</f>
        <v>4</v>
      </c>
      <c r="G59" s="278" t="s">
        <v>136</v>
      </c>
      <c r="H59" s="242">
        <f ca="1">Acc_max</f>
        <v>50.92609571122825</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311.14825957646235</v>
      </c>
      <c r="F62" s="280">
        <f ca="1">E62/9.81</f>
        <v>31.717457653054264</v>
      </c>
      <c r="H62" s="2"/>
      <c r="I62" s="2"/>
      <c r="J62" s="2"/>
      <c r="K62" s="2"/>
      <c r="N62" s="75"/>
    </row>
    <row r="63" spans="2:14" x14ac:dyDescent="0.2">
      <c r="B63" s="74"/>
      <c r="C63" s="276"/>
      <c r="D63" s="2" t="s">
        <v>223</v>
      </c>
      <c r="E63" s="242">
        <f ca="1">2*Acc_max*Masse_ail</f>
        <v>8.1736383616521344</v>
      </c>
      <c r="F63" s="248">
        <f ca="1">E63/9.81</f>
        <v>0.83319453227850504</v>
      </c>
      <c r="G63" s="246" t="s">
        <v>229</v>
      </c>
      <c r="H63" s="288">
        <f>S_ail*(ep_ail/1000)*2000</f>
        <v>8.0250000000000002E-2</v>
      </c>
      <c r="I63" s="2"/>
      <c r="J63" s="2"/>
      <c r="K63" s="2"/>
      <c r="N63" s="75"/>
    </row>
    <row r="64" spans="2:14" x14ac:dyDescent="0.2">
      <c r="B64" s="74"/>
      <c r="C64" s="277"/>
      <c r="D64" s="255" t="s">
        <v>224</v>
      </c>
      <c r="E64" s="263">
        <f ca="1">0.104*S_ail*Vit_max^2</f>
        <v>41.963940757296804</v>
      </c>
      <c r="F64" s="281">
        <f ca="1">E64/9.81</f>
        <v>4.277669801967054</v>
      </c>
      <c r="G64" s="274" t="s">
        <v>228</v>
      </c>
      <c r="H64" s="289">
        <f>(E_ail*(m_ail+n_ail)/2)/10^6</f>
        <v>1.3375E-2</v>
      </c>
      <c r="I64" s="2"/>
      <c r="J64" s="2"/>
      <c r="K64" s="2"/>
      <c r="N64" s="75"/>
    </row>
    <row r="65" spans="2:14" x14ac:dyDescent="0.2">
      <c r="B65" s="74"/>
      <c r="C65" s="282" t="s">
        <v>242</v>
      </c>
      <c r="D65" s="285" t="s">
        <v>240</v>
      </c>
      <c r="E65" s="286">
        <f ca="1">2*Acc_max*H65</f>
        <v>155.57412978823118</v>
      </c>
      <c r="F65" s="286">
        <f ca="1">E65/9.81</f>
        <v>15.858728826527132</v>
      </c>
      <c r="G65" s="287" t="s">
        <v>241</v>
      </c>
      <c r="H65" s="279">
        <f ca="1">E58/2</f>
        <v>1.52745</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16.399999999999999</v>
      </c>
      <c r="I67" s="251">
        <f ca="1">Temps_culmi</f>
        <v>16.399999999999928</v>
      </c>
      <c r="J67" s="2"/>
      <c r="K67" s="2"/>
      <c r="N67" s="75"/>
    </row>
    <row r="68" spans="2:14" x14ac:dyDescent="0.2">
      <c r="B68" s="74"/>
      <c r="C68" s="6"/>
      <c r="D68" s="2"/>
      <c r="E68" s="2"/>
      <c r="F68" s="275" t="s">
        <v>231</v>
      </c>
      <c r="G68" s="249" t="s">
        <v>129</v>
      </c>
      <c r="H68" s="250">
        <f ca="1">V_para</f>
        <v>12.357014737568688</v>
      </c>
      <c r="I68" s="251">
        <f>V_satellite</f>
        <v>10.960038730752361</v>
      </c>
      <c r="J68" s="2"/>
      <c r="K68" s="2"/>
      <c r="N68" s="75"/>
    </row>
    <row r="69" spans="2:14" x14ac:dyDescent="0.2">
      <c r="B69" s="74"/>
      <c r="C69" s="6"/>
      <c r="D69" s="2"/>
      <c r="E69" s="2"/>
      <c r="F69" s="276"/>
      <c r="G69" s="2" t="s">
        <v>237</v>
      </c>
      <c r="H69" s="247">
        <f>S_para</f>
        <v>0.3125</v>
      </c>
      <c r="I69" s="253">
        <f>S_satellite</f>
        <v>0.02</v>
      </c>
      <c r="J69" s="2"/>
      <c r="K69" s="2"/>
      <c r="N69" s="75"/>
    </row>
    <row r="70" spans="2:14" x14ac:dyDescent="0.2">
      <c r="B70" s="74"/>
      <c r="C70" s="226"/>
      <c r="D70" s="2"/>
      <c r="F70" s="276"/>
      <c r="G70" s="2" t="s">
        <v>236</v>
      </c>
      <c r="H70" s="247">
        <f ca="1">V_ouverture</f>
        <v>24.352877273600257</v>
      </c>
      <c r="I70" s="253">
        <f ca="1">V_ouv_sat</f>
        <v>156.73396217501522</v>
      </c>
      <c r="N70" s="75"/>
    </row>
    <row r="71" spans="2:14" x14ac:dyDescent="0.2">
      <c r="B71" s="74"/>
      <c r="C71" s="226"/>
      <c r="F71" s="276"/>
      <c r="G71" s="2" t="s">
        <v>201</v>
      </c>
      <c r="H71" s="247">
        <f ca="1">m_vide</f>
        <v>2.9792999999999998</v>
      </c>
      <c r="I71" s="253">
        <f>m_satellite</f>
        <v>0.15</v>
      </c>
      <c r="N71" s="75"/>
    </row>
    <row r="72" spans="2:14" x14ac:dyDescent="0.2">
      <c r="B72" s="74"/>
      <c r="C72" s="226"/>
      <c r="F72" s="276"/>
      <c r="G72" s="2" t="s">
        <v>238</v>
      </c>
      <c r="H72" s="283">
        <f ca="1">1/2*Rho_moyen*S_para*V_ouverture^2</f>
        <v>113.51589431112795</v>
      </c>
      <c r="I72" s="284">
        <f ca="1">1/2*Rho_moyen*S_satellite*V_ouv_sat^2</f>
        <v>300.92780251371903</v>
      </c>
      <c r="N72" s="75"/>
    </row>
    <row r="73" spans="2:14" x14ac:dyDescent="0.2">
      <c r="B73" s="74"/>
      <c r="D73" s="2"/>
      <c r="F73" s="277"/>
      <c r="G73" s="255" t="s">
        <v>239</v>
      </c>
      <c r="H73" s="256">
        <f ca="1">H72/9.81</f>
        <v>11.571446922643013</v>
      </c>
      <c r="I73" s="257">
        <f ca="1">I72/9.81</f>
        <v>30.675616973875538</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SP02-Alpha</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45991</v>
      </c>
      <c r="E83" s="48"/>
      <c r="F83" s="436"/>
      <c r="G83" s="48"/>
      <c r="H83" s="48"/>
      <c r="I83" s="48"/>
      <c r="J83" s="48"/>
      <c r="K83" s="48"/>
      <c r="N83" s="75"/>
    </row>
    <row r="84" spans="2:14" ht="13.5" thickBot="1" x14ac:dyDescent="0.25">
      <c r="B84" s="74"/>
      <c r="E84" s="48"/>
      <c r="F84" s="436"/>
      <c r="G84" s="48"/>
      <c r="H84" s="48"/>
      <c r="I84" s="48"/>
      <c r="J84" s="440">
        <f>IF(RIGHT(Nb_diam,1)=",", "", X_j)</f>
        <v>0</v>
      </c>
      <c r="K84" s="48"/>
      <c r="N84" s="75"/>
    </row>
    <row r="85" spans="2:14" ht="13.5" thickBot="1" x14ac:dyDescent="0.25">
      <c r="B85" s="74"/>
      <c r="C85" s="275" t="s">
        <v>337</v>
      </c>
      <c r="D85" s="243" t="str">
        <f>Propu</f>
        <v>Pandora (Pro24-6G BS)</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0</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0</v>
      </c>
      <c r="G90" s="48"/>
      <c r="H90" s="48"/>
      <c r="I90" s="48"/>
      <c r="J90" s="441">
        <f>X_ail-m_ail</f>
        <v>772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0</v>
      </c>
      <c r="K92" s="48"/>
      <c r="N92" s="75"/>
    </row>
    <row r="93" spans="2:14" x14ac:dyDescent="0.2">
      <c r="B93" s="74"/>
      <c r="E93" s="48"/>
      <c r="F93" s="436"/>
      <c r="G93" s="48"/>
      <c r="H93" s="48"/>
      <c r="I93" s="48"/>
      <c r="J93" s="436"/>
      <c r="K93" s="48"/>
      <c r="N93" s="75"/>
    </row>
    <row r="94" spans="2:14" x14ac:dyDescent="0.2">
      <c r="B94" s="74"/>
      <c r="E94" s="434" t="s">
        <v>343</v>
      </c>
      <c r="F94" s="440">
        <f>IF(RIGHT(Nb_diam,1)=",", "", D2r)</f>
        <v>0</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170</v>
      </c>
      <c r="G97" s="48"/>
      <c r="H97" s="48"/>
      <c r="I97" s="48"/>
      <c r="J97" s="441">
        <f>p_ail</f>
        <v>120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714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107</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2.895</v>
      </c>
      <c r="F107" s="244">
        <f ca="1">MassePlein</f>
        <v>3.0548999999999999</v>
      </c>
      <c r="N107" s="75"/>
    </row>
    <row r="108" spans="2:14" x14ac:dyDescent="0.2">
      <c r="B108" s="74"/>
      <c r="D108" s="431" t="s">
        <v>352</v>
      </c>
      <c r="E108" s="274">
        <f>XcgSans</f>
        <v>530</v>
      </c>
      <c r="F108" s="260">
        <f ca="1">XcgPlein</f>
        <v>545.59795737994693</v>
      </c>
      <c r="N108" s="75"/>
    </row>
    <row r="109" spans="2:14" x14ac:dyDescent="0.2">
      <c r="B109" s="74"/>
      <c r="N109" s="75"/>
    </row>
    <row r="110" spans="2:14" x14ac:dyDescent="0.2">
      <c r="B110" s="74"/>
      <c r="D110" s="438" t="s">
        <v>355</v>
      </c>
      <c r="E110" s="439">
        <f ca="1">MasseVide</f>
        <v>2.9792999999999998</v>
      </c>
      <c r="G110" s="429" t="s">
        <v>356</v>
      </c>
      <c r="H110" s="265"/>
      <c r="I110" s="265"/>
      <c r="J110" s="266"/>
      <c r="N110" s="75"/>
    </row>
    <row r="111" spans="2:14" x14ac:dyDescent="0.2">
      <c r="B111" s="74"/>
      <c r="G111" s="276" t="s">
        <v>213</v>
      </c>
      <c r="H111" s="6">
        <f>Beta_rampe</f>
        <v>75.426997324279156</v>
      </c>
      <c r="I111" s="6">
        <v>80</v>
      </c>
      <c r="J111" s="244">
        <v>90</v>
      </c>
      <c r="N111" s="75"/>
    </row>
    <row r="112" spans="2:14" x14ac:dyDescent="0.2">
      <c r="B112" s="74"/>
      <c r="G112" s="278" t="s">
        <v>215</v>
      </c>
      <c r="H112" s="247">
        <f ca="1">Temps_culmi</f>
        <v>16.399999999999928</v>
      </c>
      <c r="I112" s="259"/>
      <c r="J112" s="268"/>
      <c r="N112" s="75"/>
    </row>
    <row r="113" spans="2:14" ht="12.75" customHeight="1" x14ac:dyDescent="0.25">
      <c r="B113" s="74"/>
      <c r="D113" s="435" t="s">
        <v>357</v>
      </c>
      <c r="E113" s="48"/>
      <c r="G113" s="278" t="s">
        <v>216</v>
      </c>
      <c r="H113" s="242">
        <f ca="1">Altitude_culmi</f>
        <v>1439.2737900663878</v>
      </c>
      <c r="I113" s="259"/>
      <c r="J113" s="268"/>
      <c r="N113" s="75"/>
    </row>
    <row r="114" spans="2:14" ht="12.75" customHeight="1" x14ac:dyDescent="0.25">
      <c r="B114" s="74"/>
      <c r="D114" s="48"/>
      <c r="E114" s="48"/>
      <c r="F114" s="435"/>
      <c r="G114" s="278" t="s">
        <v>217</v>
      </c>
      <c r="H114" s="248">
        <f ca="1">Vit_culmi</f>
        <v>24.352877273600257</v>
      </c>
      <c r="I114" s="259"/>
      <c r="J114" s="268"/>
      <c r="N114" s="75"/>
    </row>
    <row r="115" spans="2:14" x14ac:dyDescent="0.2">
      <c r="B115" s="74"/>
      <c r="C115" s="429" t="s">
        <v>358</v>
      </c>
      <c r="D115" s="249"/>
      <c r="E115" s="446">
        <v>0.1</v>
      </c>
      <c r="G115" s="278" t="s">
        <v>133</v>
      </c>
      <c r="H115" s="242">
        <f ca="1">Portee_balistique</f>
        <v>839.7136314269211</v>
      </c>
      <c r="I115" s="259"/>
      <c r="J115" s="268"/>
      <c r="N115" s="75"/>
    </row>
    <row r="116" spans="2:14" ht="12.75" customHeight="1" x14ac:dyDescent="0.2">
      <c r="B116" s="74"/>
      <c r="C116" s="431" t="s">
        <v>359</v>
      </c>
      <c r="D116" s="255"/>
      <c r="E116" s="447">
        <f>E_ail*(m_ail+n_ail)/2</f>
        <v>13375</v>
      </c>
      <c r="G116" s="278" t="s">
        <v>137</v>
      </c>
      <c r="H116" s="248">
        <f ca="1">Vit_max</f>
        <v>173.68990099903891</v>
      </c>
      <c r="I116" s="259"/>
      <c r="J116" s="268"/>
      <c r="N116" s="75"/>
    </row>
    <row r="117" spans="2:14" ht="12.75" customHeight="1" x14ac:dyDescent="0.2">
      <c r="B117" s="74"/>
      <c r="D117" s="48"/>
      <c r="E117" s="48"/>
      <c r="F117" s="48"/>
      <c r="G117" s="278" t="s">
        <v>136</v>
      </c>
      <c r="H117" s="242">
        <f ca="1">Acc_max</f>
        <v>50.92609571122825</v>
      </c>
      <c r="I117" s="259"/>
      <c r="J117" s="268"/>
      <c r="N117" s="75"/>
    </row>
    <row r="118" spans="2:14" x14ac:dyDescent="0.2">
      <c r="B118" s="74"/>
      <c r="C118" s="429" t="s">
        <v>360</v>
      </c>
      <c r="D118" s="249"/>
      <c r="E118" s="457"/>
      <c r="F118" s="458">
        <f>J90/100</f>
        <v>7.72</v>
      </c>
      <c r="G118" s="276" t="s">
        <v>5</v>
      </c>
      <c r="H118" s="6">
        <f>Cx</f>
        <v>0.6</v>
      </c>
      <c r="I118" s="259"/>
      <c r="J118" s="268"/>
      <c r="N118" s="75"/>
    </row>
    <row r="119" spans="2:14" x14ac:dyDescent="0.2">
      <c r="B119" s="74"/>
      <c r="C119" s="437" t="s">
        <v>361</v>
      </c>
      <c r="D119" s="2"/>
      <c r="E119" s="459">
        <f ca="1">2*Acc_max*MasseSans</f>
        <v>294.86209416801159</v>
      </c>
      <c r="F119" s="460">
        <f ca="1">E119/g</f>
        <v>30.057298080327378</v>
      </c>
      <c r="G119" s="269" t="s">
        <v>222</v>
      </c>
      <c r="H119" s="270"/>
      <c r="I119" s="270"/>
      <c r="J119" s="271"/>
      <c r="N119" s="75"/>
    </row>
    <row r="120" spans="2:14" x14ac:dyDescent="0.2">
      <c r="B120" s="74"/>
      <c r="C120" s="437" t="s">
        <v>362</v>
      </c>
      <c r="D120" s="2"/>
      <c r="E120" s="459">
        <f ca="1">2*Acc_max*E115</f>
        <v>10.18521914224565</v>
      </c>
      <c r="F120" s="460">
        <f ca="1">E120/g</f>
        <v>1.0382486383532772</v>
      </c>
      <c r="N120" s="75"/>
    </row>
    <row r="121" spans="2:14" x14ac:dyDescent="0.2">
      <c r="B121" s="74"/>
      <c r="C121" s="431" t="s">
        <v>363</v>
      </c>
      <c r="D121" s="255"/>
      <c r="E121" s="452">
        <f ca="1">0.104*E116/1000000*Vit_max^2</f>
        <v>41.963940757296811</v>
      </c>
      <c r="F121" s="453">
        <f ca="1">E121/g</f>
        <v>4.2776698019670549</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0.3125</v>
      </c>
      <c r="G127" s="48"/>
      <c r="J127" s="48"/>
      <c r="N127" s="75"/>
    </row>
    <row r="128" spans="2:14" x14ac:dyDescent="0.2">
      <c r="B128" s="74"/>
      <c r="C128" s="670" t="s">
        <v>368</v>
      </c>
      <c r="D128" s="671"/>
      <c r="E128" s="450">
        <f ca="1">0.5*Rho_moyen*S_para*Vit_culmi^2</f>
        <v>113.51589431112795</v>
      </c>
      <c r="F128" s="451">
        <f ca="1">E128/g</f>
        <v>11.571446922643013</v>
      </c>
      <c r="H128" s="48"/>
      <c r="I128" s="48"/>
      <c r="J128" s="48"/>
      <c r="K128" s="48"/>
      <c r="N128" s="75"/>
    </row>
    <row r="129" spans="2:14" x14ac:dyDescent="0.2">
      <c r="B129" s="74"/>
      <c r="C129" s="668" t="s">
        <v>369</v>
      </c>
      <c r="D129" s="669"/>
      <c r="E129" s="452">
        <f ca="1">E128/E126*2</f>
        <v>56.757947155563976</v>
      </c>
      <c r="F129" s="453">
        <f ca="1">E129/g</f>
        <v>5.7857234613215063</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10.382486383532772</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2025-11-30T11:14:45Z</dcterms:modified>
</cp:coreProperties>
</file>